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ais-my.sharepoint.com/personal/stinela_dashi_shendetesia_gov_al/Documents/Desktop/"/>
    </mc:Choice>
  </mc:AlternateContent>
  <xr:revisionPtr revIDLastSave="54" documentId="8_{8DA0AD6F-7A99-44BF-8025-0AA4DC443E10}" xr6:coauthVersionLast="47" xr6:coauthVersionMax="47" xr10:uidLastSave="{6BF24AFC-534E-4C18-ACF1-C04AC50B7BBF}"/>
  <bookViews>
    <workbookView xWindow="-120" yWindow="-120" windowWidth="29040" windowHeight="15720" tabRatio="741" activeTab="2" xr2:uid="{00000000-000D-0000-FFFF-FFFF00000000}"/>
  </bookViews>
  <sheets>
    <sheet name="Tabela" sheetId="43" r:id="rId1"/>
    <sheet name="List" sheetId="44" r:id="rId2"/>
    <sheet name="Jan" sheetId="28" r:id="rId3"/>
    <sheet name="Feb" sheetId="49" r:id="rId4"/>
    <sheet name="Mar" sheetId="30" r:id="rId5"/>
    <sheet name="Apr" sheetId="41" r:id="rId6"/>
    <sheet name="Sheet3" sheetId="47" state="hidden" r:id="rId7"/>
    <sheet name="May" sheetId="31" r:id="rId8"/>
    <sheet name="June" sheetId="32" r:id="rId9"/>
    <sheet name="July" sheetId="33" r:id="rId10"/>
    <sheet name="Aug" sheetId="34" r:id="rId11"/>
    <sheet name="Sep" sheetId="35" r:id="rId12"/>
    <sheet name="Oct" sheetId="36" r:id="rId13"/>
    <sheet name="Nov" sheetId="38" r:id="rId14"/>
    <sheet name="Dec" sheetId="48" r:id="rId15"/>
  </sheets>
  <externalReferences>
    <externalReference r:id="rId16"/>
    <externalReference r:id="rId17"/>
  </externalReferences>
  <definedNames>
    <definedName name="AprSun1" localSheetId="5">DATE(CalendarYear,4,1)-WEEKDAY(DATE(CalendarYear,4,1))+1</definedName>
    <definedName name="AprSun1" localSheetId="14">DATE(Dec!CalendarYear,4,1)-WEEKDAY(DATE(Dec!CalendarYear,4,1))+1</definedName>
    <definedName name="AprSun1" localSheetId="3">DATE(Feb!CalendarYear,4,1)-WEEKDAY(DATE(Feb!CalendarYear,4,1))+1</definedName>
    <definedName name="AprSun1">DATE(CalendarYear,4,1)-WEEKDAY(DATE(CalendarYear,4,1))+1</definedName>
    <definedName name="AugSun1" localSheetId="5">DATE(CalendarYear,8,1)-WEEKDAY(DATE(CalendarYear,8,1))+1</definedName>
    <definedName name="AugSun1" localSheetId="14">DATE(Dec!CalendarYear,8,1)-WEEKDAY(DATE(Dec!CalendarYear,8,1))+1</definedName>
    <definedName name="AugSun1" localSheetId="3">DATE(Feb!CalendarYear,8,1)-WEEKDAY(DATE(Feb!CalendarYear,8,1))+1</definedName>
    <definedName name="AugSun1">DATE(CalendarYear,8,1)-WEEKDAY(DATE(CalendarYear,8,1))+1</definedName>
    <definedName name="CalendarYear" localSheetId="14">[1]Jan!$D$5</definedName>
    <definedName name="CalendarYear" localSheetId="3">[2]Jan!$D$5</definedName>
    <definedName name="CalendarYear">Jan!$D$5</definedName>
    <definedName name="DecSun1" localSheetId="5">DATE(CalendarYear,12,1)-WEEKDAY(DATE(CalendarYear,12,1))+1</definedName>
    <definedName name="DecSun1" localSheetId="14">DATE(Dec!CalendarYear,12,1)-WEEKDAY(DATE(Dec!CalendarYear,12,1))+1</definedName>
    <definedName name="DecSun1" localSheetId="3">DATE(Feb!CalendarYear,12,1)-WEEKDAY(DATE(Feb!CalendarYear,12,1))+1</definedName>
    <definedName name="DecSun1">DATE(CalendarYear,12,1)-WEEKDAY(DATE(CalendarYear,12,1))+1</definedName>
    <definedName name="en">DATE(Feb!CalendarYear,2,1)-WEEKDAY(DATE(Feb!CalendarYear,2,1))+1</definedName>
    <definedName name="FebSun1" localSheetId="5">DATE(CalendarYear,2,1)-WEEKDAY(DATE(CalendarYear,2,1))+1</definedName>
    <definedName name="FebSun1" localSheetId="14">DATE(Dec!CalendarYear,2,1)-WEEKDAY(DATE(Dec!CalendarYear,2,1))+1</definedName>
    <definedName name="FebSun1" localSheetId="3">DATE(Feb!CalendarYear,2,1)-WEEKDAY(DATE(Feb!CalendarYear,2,1))+1</definedName>
    <definedName name="FebSun1">DATE(CalendarYear,2,1)-WEEKDAY(DATE(CalendarYear,2,1))+1</definedName>
    <definedName name="JanSun1" localSheetId="5">DATE(CalendarYear,1,1)-WEEKDAY(DATE(CalendarYear,1,1))+1</definedName>
    <definedName name="JanSun1" localSheetId="14">DATE(Dec!CalendarYear,1,1)-WEEKDAY(DATE(Dec!CalendarYear,1,1))+1</definedName>
    <definedName name="JanSun1" localSheetId="3">DATE(Feb!CalendarYear,1,1)-WEEKDAY(DATE(Feb!CalendarYear,1,1))+1</definedName>
    <definedName name="JanSun1">DATE(CalendarYear,1,1)-WEEKDAY(DATE(CalendarYear,1,1))+1</definedName>
    <definedName name="JulSun1" localSheetId="5">DATE(CalendarYear,7,1)-WEEKDAY(DATE(CalendarYear,7,1))+1</definedName>
    <definedName name="JulSun1" localSheetId="14">DATE(Dec!CalendarYear,7,1)-WEEKDAY(DATE(Dec!CalendarYear,7,1))+1</definedName>
    <definedName name="JulSun1" localSheetId="3">DATE(Feb!CalendarYear,7,1)-WEEKDAY(DATE(Feb!CalendarYear,7,1))+1</definedName>
    <definedName name="JulSun1">DATE(CalendarYear,7,1)-WEEKDAY(DATE(CalendarYear,7,1))+1</definedName>
    <definedName name="JunSun1" localSheetId="5">DATE(CalendarYear,6,1)-WEEKDAY(DATE(CalendarYear,6,1))+1</definedName>
    <definedName name="JunSun1" localSheetId="14">DATE(Dec!CalendarYear,6,1)-WEEKDAY(DATE(Dec!CalendarYear,6,1))+1</definedName>
    <definedName name="JunSun1" localSheetId="3">DATE(Feb!CalendarYear,6,1)-WEEKDAY(DATE(Feb!CalendarYear,6,1))+1</definedName>
    <definedName name="JunSun1">DATE(CalendarYear,6,1)-WEEKDAY(DATE(CalendarYear,6,1))+1</definedName>
    <definedName name="MarSun1" localSheetId="5">DATE(CalendarYear,3,1)-WEEKDAY(DATE(CalendarYear,3,1))+1</definedName>
    <definedName name="MarSun1" localSheetId="14">DATE(Dec!CalendarYear,3,1)-WEEKDAY(DATE(Dec!CalendarYear,3,1))+1</definedName>
    <definedName name="MarSun1" localSheetId="3">DATE(Feb!CalendarYear,3,1)-WEEKDAY(DATE(Feb!CalendarYear,3,1))+1</definedName>
    <definedName name="MarSun1">DATE(CalendarYear,3,1)-WEEKDAY(DATE(CalendarYear,3,1))+1</definedName>
    <definedName name="Maysu">DATE(Feb!CalendarYear,5,1)-WEEKDAY(DATE(Feb!CalendarYear,5,1))+1</definedName>
    <definedName name="MaySun1" localSheetId="5">DATE(CalendarYear,5,1)-WEEKDAY(DATE(CalendarYear,5,1))+1</definedName>
    <definedName name="MaySun1" localSheetId="14">DATE(Dec!CalendarYear,5,1)-WEEKDAY(DATE(Dec!CalendarYear,5,1))+1</definedName>
    <definedName name="MaySun1" localSheetId="3">DATE(Feb!CalendarYear,5,1)-WEEKDAY(DATE(Feb!CalendarYear,5,1))+1</definedName>
    <definedName name="MaySun1">DATE(CalendarYear,5,1)-WEEKDAY(DATE(CalendarYear,5,1))+1</definedName>
    <definedName name="NovSun1" localSheetId="5">DATE(CalendarYear,11,1)-WEEKDAY(DATE(CalendarYear,11,1))+1</definedName>
    <definedName name="NovSun1" localSheetId="14">DATE(Dec!CalendarYear,11,1)-WEEKDAY(DATE(Dec!CalendarYear,11,1))+1</definedName>
    <definedName name="NovSun1" localSheetId="3">DATE(Feb!CalendarYear,11,1)-WEEKDAY(DATE(Feb!CalendarYear,11,1))+1</definedName>
    <definedName name="NovSun1">DATE(CalendarYear,11,1)-WEEKDAY(DATE(CalendarYear,11,1))+1</definedName>
    <definedName name="OctSun1" localSheetId="5">DATE(CalendarYear,10,1)-WEEKDAY(DATE(CalendarYear,10,1))+1</definedName>
    <definedName name="OctSun1" localSheetId="14">DATE(Dec!CalendarYear,10,1)-WEEKDAY(DATE(Dec!CalendarYear,10,1))+1</definedName>
    <definedName name="OctSun1" localSheetId="3">DATE(Feb!CalendarYear,10,1)-WEEKDAY(DATE(Feb!CalendarYear,10,1))+1</definedName>
    <definedName name="OctSun1">DATE(CalendarYear,10,1)-WEEKDAY(DATE(CalendarYear,10,1))+1</definedName>
    <definedName name="SepSun1" localSheetId="5">DATE(CalendarYear,9,1)-WEEKDAY(DATE(CalendarYear,9,1))+1</definedName>
    <definedName name="SepSun1" localSheetId="14">DATE(Dec!CalendarYear,9,1)-WEEKDAY(DATE(Dec!CalendarYear,9,1))+1</definedName>
    <definedName name="SepSun1" localSheetId="3">DATE(Feb!CalendarYear,9,1)-WEEKDAY(DATE(Feb!CalendarYear,9,1))+1</definedName>
    <definedName name="SepSun1">DATE(CalendarYear,9,1)-WEEKDAY(DATE(CalendarYear,9,1))+1</definedName>
  </definedNames>
  <calcPr calcId="191029"/>
  <pivotCaches>
    <pivotCache cacheId="0" r:id="rId1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8" l="1"/>
  <c r="F10" i="48"/>
  <c r="E10" i="48"/>
  <c r="F9" i="48"/>
  <c r="E9" i="48"/>
  <c r="K8" i="48"/>
  <c r="E8" i="48"/>
  <c r="K7" i="48"/>
  <c r="J7" i="48"/>
  <c r="K6" i="48"/>
  <c r="J6" i="48"/>
  <c r="I6" i="48"/>
  <c r="J5" i="48"/>
  <c r="I5" i="48"/>
  <c r="H5" i="48"/>
  <c r="F8" i="48" l="1"/>
  <c r="G9" i="48"/>
  <c r="H10" i="48"/>
  <c r="D5" i="48"/>
  <c r="E6" i="48"/>
  <c r="F7" i="48"/>
  <c r="G8" i="48"/>
  <c r="H9" i="48"/>
  <c r="I10" i="48"/>
  <c r="E5" i="48"/>
  <c r="F6" i="48"/>
  <c r="G7" i="48"/>
  <c r="H8" i="48"/>
  <c r="I9" i="48"/>
  <c r="J10" i="48"/>
  <c r="F5" i="48"/>
  <c r="G6" i="48"/>
  <c r="H7" i="48"/>
  <c r="I8" i="48"/>
  <c r="J9" i="48"/>
  <c r="K10" i="48"/>
  <c r="G5" i="48"/>
  <c r="H6" i="48"/>
  <c r="I7" i="48"/>
  <c r="J8" i="48"/>
  <c r="K9" i="48"/>
  <c r="E7" i="48"/>
  <c r="K5" i="48"/>
  <c r="D5" i="28" l="1"/>
  <c r="E10" i="32" l="1"/>
  <c r="F10" i="32"/>
  <c r="G10" i="32"/>
  <c r="H10" i="32"/>
  <c r="I10" i="32"/>
  <c r="J10" i="32"/>
  <c r="K10" i="32"/>
  <c r="E6" i="28"/>
  <c r="F7" i="28"/>
  <c r="G8" i="28"/>
  <c r="H9" i="28"/>
  <c r="I10" i="28"/>
  <c r="K5" i="28"/>
  <c r="E7" i="28"/>
  <c r="F8" i="28"/>
  <c r="G9" i="28"/>
  <c r="H10" i="28"/>
  <c r="H5" i="30"/>
  <c r="I6" i="30"/>
  <c r="J7" i="30"/>
  <c r="K8" i="30"/>
  <c r="E10" i="30"/>
  <c r="D5" i="31"/>
  <c r="E6" i="31"/>
  <c r="F7" i="31"/>
  <c r="G8" i="31"/>
  <c r="H9" i="31"/>
  <c r="I10" i="31"/>
  <c r="I5" i="32"/>
  <c r="J6" i="32"/>
  <c r="K7" i="32"/>
  <c r="E9" i="32"/>
  <c r="F5" i="33"/>
  <c r="G6" i="33"/>
  <c r="H7" i="33"/>
  <c r="I8" i="33"/>
  <c r="J9" i="33"/>
  <c r="K10" i="33"/>
  <c r="K5" i="34"/>
  <c r="E7" i="34"/>
  <c r="F8" i="34"/>
  <c r="G9" i="34"/>
  <c r="H10" i="34"/>
  <c r="H5" i="35"/>
  <c r="I6" i="35"/>
  <c r="J7" i="35"/>
  <c r="K8" i="35"/>
  <c r="E10" i="35"/>
  <c r="E5" i="36"/>
  <c r="F6" i="36"/>
  <c r="G7" i="36"/>
  <c r="H8" i="36"/>
  <c r="I9" i="36"/>
  <c r="J10" i="36"/>
  <c r="J5" i="38"/>
  <c r="K6" i="38"/>
  <c r="E8" i="38"/>
  <c r="F9" i="38"/>
  <c r="G10" i="38"/>
  <c r="E9" i="30"/>
  <c r="G7" i="31"/>
  <c r="K6" i="32"/>
  <c r="J8" i="33"/>
  <c r="D5" i="34"/>
  <c r="H9" i="34"/>
  <c r="J6" i="35"/>
  <c r="K7" i="35"/>
  <c r="F10" i="35"/>
  <c r="G6" i="36"/>
  <c r="J9" i="36"/>
  <c r="K5" i="38"/>
  <c r="G9" i="38"/>
  <c r="F6" i="28"/>
  <c r="F9" i="30"/>
  <c r="F5" i="31"/>
  <c r="H7" i="31"/>
  <c r="G9" i="32"/>
  <c r="E10" i="33"/>
  <c r="E5" i="34"/>
  <c r="F6" i="34"/>
  <c r="G7" i="34"/>
  <c r="H8" i="34"/>
  <c r="I9" i="34"/>
  <c r="J10" i="34"/>
  <c r="J5" i="35"/>
  <c r="K6" i="35"/>
  <c r="E8" i="35"/>
  <c r="F9" i="35"/>
  <c r="G10" i="35"/>
  <c r="G5" i="36"/>
  <c r="H6" i="36"/>
  <c r="I7" i="36"/>
  <c r="J8" i="36"/>
  <c r="K9" i="36"/>
  <c r="D5" i="38"/>
  <c r="E6" i="38"/>
  <c r="F7" i="38"/>
  <c r="G8" i="38"/>
  <c r="H9" i="38"/>
  <c r="I10" i="38"/>
  <c r="J6" i="30"/>
  <c r="F10" i="30"/>
  <c r="F6" i="31"/>
  <c r="H8" i="31"/>
  <c r="F9" i="32"/>
  <c r="G10" i="30"/>
  <c r="F8" i="32"/>
  <c r="H5" i="33"/>
  <c r="K10" i="28"/>
  <c r="K5" i="30"/>
  <c r="E7" i="30"/>
  <c r="F8" i="30"/>
  <c r="G9" i="30"/>
  <c r="H10" i="30"/>
  <c r="G5" i="31"/>
  <c r="H6" i="31"/>
  <c r="I7" i="31"/>
  <c r="J8" i="31"/>
  <c r="K9" i="31"/>
  <c r="D5" i="32"/>
  <c r="E6" i="32"/>
  <c r="F7" i="32"/>
  <c r="G8" i="32"/>
  <c r="H9" i="32"/>
  <c r="I5" i="33"/>
  <c r="J6" i="33"/>
  <c r="K7" i="33"/>
  <c r="E9" i="33"/>
  <c r="F10" i="33"/>
  <c r="F5" i="34"/>
  <c r="G6" i="34"/>
  <c r="H7" i="34"/>
  <c r="I8" i="34"/>
  <c r="J9" i="34"/>
  <c r="K10" i="34"/>
  <c r="K5" i="35"/>
  <c r="E7" i="35"/>
  <c r="F8" i="35"/>
  <c r="G9" i="35"/>
  <c r="H10" i="35"/>
  <c r="H5" i="36"/>
  <c r="I6" i="36"/>
  <c r="J7" i="36"/>
  <c r="K8" i="36"/>
  <c r="E10" i="36"/>
  <c r="E5" i="38"/>
  <c r="F6" i="38"/>
  <c r="G7" i="38"/>
  <c r="H8" i="38"/>
  <c r="I9" i="38"/>
  <c r="J10" i="38"/>
  <c r="I9" i="31"/>
  <c r="G8" i="34"/>
  <c r="I6" i="33"/>
  <c r="F5" i="28"/>
  <c r="H7" i="28"/>
  <c r="G5" i="28"/>
  <c r="I7" i="28"/>
  <c r="J8" i="28"/>
  <c r="K9" i="28"/>
  <c r="D5" i="30"/>
  <c r="E6" i="30"/>
  <c r="F7" i="30"/>
  <c r="G8" i="30"/>
  <c r="H9" i="30"/>
  <c r="I10" i="30"/>
  <c r="H5" i="31"/>
  <c r="I6" i="31"/>
  <c r="J7" i="31"/>
  <c r="K8" i="31"/>
  <c r="E10" i="31"/>
  <c r="E5" i="32"/>
  <c r="F6" i="32"/>
  <c r="G7" i="32"/>
  <c r="H8" i="32"/>
  <c r="I9" i="32"/>
  <c r="J5" i="33"/>
  <c r="K6" i="33"/>
  <c r="E8" i="33"/>
  <c r="F9" i="33"/>
  <c r="G10" i="33"/>
  <c r="G5" i="34"/>
  <c r="H6" i="34"/>
  <c r="I7" i="34"/>
  <c r="J8" i="34"/>
  <c r="K9" i="34"/>
  <c r="D5" i="35"/>
  <c r="E6" i="35"/>
  <c r="F7" i="35"/>
  <c r="G8" i="35"/>
  <c r="H9" i="35"/>
  <c r="I10" i="35"/>
  <c r="I5" i="36"/>
  <c r="J6" i="36"/>
  <c r="K7" i="36"/>
  <c r="E9" i="36"/>
  <c r="F10" i="36"/>
  <c r="F5" i="38"/>
  <c r="G6" i="38"/>
  <c r="H7" i="38"/>
  <c r="I8" i="38"/>
  <c r="J9" i="38"/>
  <c r="K10" i="38"/>
  <c r="G5" i="33"/>
  <c r="I7" i="33"/>
  <c r="K9" i="33"/>
  <c r="I10" i="34"/>
  <c r="E9" i="35"/>
  <c r="F5" i="36"/>
  <c r="H7" i="36"/>
  <c r="K10" i="36"/>
  <c r="E7" i="38"/>
  <c r="F8" i="38"/>
  <c r="H10" i="38"/>
  <c r="E5" i="28"/>
  <c r="G7" i="28"/>
  <c r="H8" i="28"/>
  <c r="I9" i="28"/>
  <c r="J10" i="28"/>
  <c r="E8" i="30"/>
  <c r="G6" i="31"/>
  <c r="K10" i="31"/>
  <c r="K8" i="33"/>
  <c r="I8" i="28"/>
  <c r="H5" i="28"/>
  <c r="E10" i="28"/>
  <c r="E5" i="30"/>
  <c r="F6" i="30"/>
  <c r="G7" i="30"/>
  <c r="H8" i="30"/>
  <c r="I9" i="30"/>
  <c r="J10" i="30"/>
  <c r="I5" i="31"/>
  <c r="J6" i="31"/>
  <c r="K7" i="31"/>
  <c r="E9" i="31"/>
  <c r="F10" i="31"/>
  <c r="F5" i="32"/>
  <c r="G6" i="32"/>
  <c r="H7" i="32"/>
  <c r="I8" i="32"/>
  <c r="J9" i="32"/>
  <c r="K5" i="33"/>
  <c r="E7" i="33"/>
  <c r="F8" i="33"/>
  <c r="G9" i="33"/>
  <c r="H10" i="33"/>
  <c r="H5" i="34"/>
  <c r="I6" i="34"/>
  <c r="J7" i="34"/>
  <c r="K8" i="34"/>
  <c r="E10" i="34"/>
  <c r="E5" i="35"/>
  <c r="F6" i="35"/>
  <c r="G7" i="35"/>
  <c r="H8" i="35"/>
  <c r="I9" i="35"/>
  <c r="J10" i="35"/>
  <c r="J5" i="36"/>
  <c r="K6" i="36"/>
  <c r="E8" i="36"/>
  <c r="F9" i="36"/>
  <c r="G10" i="36"/>
  <c r="G5" i="38"/>
  <c r="H6" i="38"/>
  <c r="I7" i="38"/>
  <c r="J8" i="38"/>
  <c r="K9" i="38"/>
  <c r="K7" i="30"/>
  <c r="E5" i="31"/>
  <c r="J10" i="31"/>
  <c r="J5" i="32"/>
  <c r="E8" i="32"/>
  <c r="H6" i="33"/>
  <c r="F7" i="34"/>
  <c r="I5" i="35"/>
  <c r="I8" i="36"/>
  <c r="K6" i="30"/>
  <c r="J9" i="31"/>
  <c r="K5" i="32"/>
  <c r="E7" i="32"/>
  <c r="I5" i="28"/>
  <c r="J6" i="28"/>
  <c r="K7" i="28"/>
  <c r="E9" i="28"/>
  <c r="F10" i="28"/>
  <c r="F5" i="30"/>
  <c r="G6" i="30"/>
  <c r="H7" i="30"/>
  <c r="I8" i="30"/>
  <c r="J9" i="30"/>
  <c r="K10" i="30"/>
  <c r="J5" i="31"/>
  <c r="K6" i="31"/>
  <c r="E8" i="31"/>
  <c r="F9" i="31"/>
  <c r="G10" i="31"/>
  <c r="G5" i="32"/>
  <c r="H6" i="32"/>
  <c r="I7" i="32"/>
  <c r="J8" i="32"/>
  <c r="K9" i="32"/>
  <c r="D5" i="33"/>
  <c r="E6" i="33"/>
  <c r="F7" i="33"/>
  <c r="G8" i="33"/>
  <c r="H9" i="33"/>
  <c r="I10" i="33"/>
  <c r="I5" i="34"/>
  <c r="J6" i="34"/>
  <c r="K7" i="34"/>
  <c r="E9" i="34"/>
  <c r="F10" i="34"/>
  <c r="F5" i="35"/>
  <c r="G6" i="35"/>
  <c r="H7" i="35"/>
  <c r="I8" i="35"/>
  <c r="J9" i="35"/>
  <c r="K10" i="35"/>
  <c r="K5" i="36"/>
  <c r="E7" i="36"/>
  <c r="F8" i="36"/>
  <c r="G9" i="36"/>
  <c r="H10" i="36"/>
  <c r="H5" i="38"/>
  <c r="I6" i="38"/>
  <c r="J7" i="38"/>
  <c r="K8" i="38"/>
  <c r="E10" i="38"/>
  <c r="I5" i="30"/>
  <c r="E6" i="34"/>
  <c r="J5" i="30"/>
  <c r="I8" i="31"/>
  <c r="J7" i="33"/>
  <c r="G6" i="28"/>
  <c r="J9" i="28"/>
  <c r="H6" i="28"/>
  <c r="I6" i="28"/>
  <c r="J7" i="28"/>
  <c r="K8" i="28"/>
  <c r="J5" i="28"/>
  <c r="K6" i="28"/>
  <c r="E8" i="28"/>
  <c r="F9" i="28"/>
  <c r="G10" i="28"/>
  <c r="G5" i="30"/>
  <c r="H6" i="30"/>
  <c r="I7" i="30"/>
  <c r="J8" i="30"/>
  <c r="K9" i="30"/>
  <c r="K5" i="31"/>
  <c r="E7" i="31"/>
  <c r="F8" i="31"/>
  <c r="G9" i="31"/>
  <c r="H10" i="31"/>
  <c r="H5" i="32"/>
  <c r="I6" i="32"/>
  <c r="J7" i="32"/>
  <c r="K8" i="32"/>
  <c r="E5" i="33"/>
  <c r="F6" i="33"/>
  <c r="G7" i="33"/>
  <c r="H8" i="33"/>
  <c r="I9" i="33"/>
  <c r="J10" i="33"/>
  <c r="J5" i="34"/>
  <c r="K6" i="34"/>
  <c r="E8" i="34"/>
  <c r="F9" i="34"/>
  <c r="G10" i="34"/>
  <c r="G5" i="35"/>
  <c r="H6" i="35"/>
  <c r="I7" i="35"/>
  <c r="J8" i="35"/>
  <c r="K9" i="35"/>
  <c r="D5" i="36"/>
  <c r="E6" i="36"/>
  <c r="F7" i="36"/>
  <c r="G8" i="36"/>
  <c r="H9" i="36"/>
  <c r="I10" i="36"/>
  <c r="I5" i="38"/>
  <c r="J6" i="38"/>
  <c r="K7" i="38"/>
  <c r="E9" i="38"/>
  <c r="F10" i="38"/>
  <c r="E9" i="49" l="1"/>
  <c r="K9" i="49"/>
  <c r="D5" i="49"/>
  <c r="H7" i="49"/>
  <c r="K7" i="49"/>
  <c r="I9" i="49"/>
  <c r="K5" i="49"/>
  <c r="G7" i="49"/>
  <c r="J8" i="49"/>
  <c r="K8" i="49"/>
  <c r="J7" i="49"/>
  <c r="G8" i="49"/>
  <c r="I8" i="49"/>
  <c r="G9" i="49"/>
  <c r="E7" i="49"/>
  <c r="H8" i="49"/>
  <c r="K6" i="49"/>
  <c r="F8" i="49"/>
  <c r="F9" i="49"/>
  <c r="I7" i="49"/>
  <c r="E8" i="49"/>
  <c r="H9" i="49"/>
  <c r="F7" i="49"/>
  <c r="J9" i="49"/>
</calcChain>
</file>

<file path=xl/sharedStrings.xml><?xml version="1.0" encoding="utf-8"?>
<sst xmlns="http://schemas.openxmlformats.org/spreadsheetml/2006/main" count="680" uniqueCount="71">
  <si>
    <t>No. Meeting</t>
  </si>
  <si>
    <t>No. Topic</t>
  </si>
  <si>
    <t>No.Topic</t>
  </si>
  <si>
    <t>D&amp;A Roundtable - 1</t>
  </si>
  <si>
    <t>D&amp;A Roundtable - 2</t>
  </si>
  <si>
    <t>JAN</t>
  </si>
  <si>
    <t>MON</t>
  </si>
  <si>
    <t>TUE</t>
  </si>
  <si>
    <t>WED</t>
  </si>
  <si>
    <t>THU</t>
  </si>
  <si>
    <t>FRI</t>
  </si>
  <si>
    <t>SAT</t>
  </si>
  <si>
    <t>SUN</t>
  </si>
  <si>
    <t>MEETING</t>
  </si>
  <si>
    <t>Topic</t>
  </si>
  <si>
    <t>Plan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</si>
  <si>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</si>
  <si>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</si>
  <si>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</si>
  <si>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</si>
  <si>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</si>
  <si>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</si>
  <si>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</si>
  <si>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</si>
  <si>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</si>
  <si>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Typology</t>
  </si>
  <si>
    <t>European agenda</t>
  </si>
  <si>
    <t>Other</t>
  </si>
  <si>
    <t>Meeting No. 1</t>
  </si>
  <si>
    <t>Information &amp; Awareness</t>
  </si>
  <si>
    <t>Interim Benchmark</t>
  </si>
  <si>
    <t>Closing Benchmark</t>
  </si>
  <si>
    <t>Meeting no. 1</t>
  </si>
  <si>
    <t>Meeting no. 2</t>
  </si>
  <si>
    <t>Meeting no. 3</t>
  </si>
  <si>
    <t>Typology Distribution by Meeting</t>
  </si>
  <si>
    <t>Implemented</t>
  </si>
  <si>
    <t>Potential Cooperation Opportunities</t>
  </si>
  <si>
    <t>Capacity Building</t>
  </si>
  <si>
    <t>Progress Reporting</t>
  </si>
  <si>
    <t>Row Labels</t>
  </si>
  <si>
    <t>Grand Total</t>
  </si>
  <si>
    <t>Count of Typology</t>
  </si>
  <si>
    <t>DEC</t>
  </si>
  <si>
    <t>Tabela 1</t>
  </si>
  <si>
    <t>Tabela 2</t>
  </si>
  <si>
    <t>Tabela 3</t>
  </si>
  <si>
    <t>Tabela 4</t>
  </si>
  <si>
    <t>No</t>
  </si>
  <si>
    <t>FEB</t>
  </si>
  <si>
    <t>Group Chapter II ''INTERNAL MARKET''</t>
  </si>
  <si>
    <t>Discussion and Advisory Roundtable ''Consumer And Health Protection''</t>
  </si>
  <si>
    <t>Discussion and Advisory Roundtable''Consumer And Health Protection''</t>
  </si>
  <si>
    <t>Meeting no.1</t>
  </si>
  <si>
    <t>Topic 1: Suggestions for improving interaction between the Ministry of Health and Social Protection (MoHSP) and stakeholders.</t>
  </si>
  <si>
    <t>Topic – Additional Information Related to the Closing Benchmarks</t>
  </si>
  <si>
    <t xml:space="preserve">Further disscusions </t>
  </si>
  <si>
    <t xml:space="preserve">The working plan of CHPTER 28 measures and timeframes </t>
  </si>
  <si>
    <t>Topic.1. Implementation  of CHPTER 28 measures and timeframes through institutional coordination and EU consultation</t>
  </si>
  <si>
    <t>Topic.2. Trainings of the GNPIE membership and PIEA platforma members of CHAPTER 28 "Consumer And Health Protection",ASPA presentation</t>
  </si>
  <si>
    <r>
      <t xml:space="preserve">Topic.3 Legal measures consultations to be presented through monthly time frames, </t>
    </r>
    <r>
      <rPr>
        <b/>
        <sz val="14"/>
        <color theme="1"/>
        <rFont val="Arial"/>
        <family val="2"/>
        <scheme val="minor"/>
      </rPr>
      <t xml:space="preserve">2026-2027. </t>
    </r>
  </si>
  <si>
    <t>Topic 1- Disscusing on the progress report, second contribution of Albania on Chapter 28</t>
  </si>
  <si>
    <t>Topic.1. Implementation  of CHAPTER 28 measures and timeframes through institutional coordination and EU consultation</t>
  </si>
  <si>
    <t xml:space="preserve">The working plan of CHAPTER 28 measures and timeframes </t>
  </si>
  <si>
    <t>Topic 2- Implementation  of CHAPTER 28 measures and timeframes through institutional coordination and EU consultation on Public health Issues</t>
  </si>
  <si>
    <t xml:space="preserve">Topic 3- Round up activity on the working plan on CHAPTER 28 on measures and timeframes fulfilment  for 2026. </t>
  </si>
  <si>
    <t>Topic 4- Discussions on working plan measures to be realised in 2027.</t>
  </si>
  <si>
    <t>Topic 5-  Other discussions.</t>
  </si>
  <si>
    <t>Topic.2. Trainings of the GNPIE membership and PIEA platforma members of CHAPTER 28 "Consumer And Health Protection"</t>
  </si>
  <si>
    <t xml:space="preserve">Topic 3- Other disscussion </t>
  </si>
  <si>
    <t xml:space="preserve">Other disscusions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</si>
</sst>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m;@"/>
    <numFmt numFmtId="165" formatCode="d"/>
  </numFmts>
  <fonts count="41">
    <font>
      <sz val="11"/>
      <color theme="1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48"/>
      <color theme="0"/>
      <name val="Arial"/>
      <family val="2"/>
      <scheme val="minor"/>
    </font>
    <font>
      <sz val="36"/>
      <name val="Arial"/>
      <family val="2"/>
      <scheme val="major"/>
    </font>
    <font>
      <sz val="11"/>
      <name val="Arial"/>
      <family val="2"/>
      <scheme val="minor"/>
    </font>
    <font>
      <sz val="36"/>
      <name val="Arial"/>
      <family val="2"/>
      <scheme val="minor"/>
    </font>
    <font>
      <b/>
      <sz val="32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24"/>
      <name val="Arial"/>
      <family val="2"/>
      <scheme val="minor"/>
    </font>
    <font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ajor"/>
    </font>
    <font>
      <b/>
      <sz val="12"/>
      <color theme="4" tint="-0.499984740745262"/>
      <name val="Arial"/>
      <family val="2"/>
      <scheme val="minor"/>
    </font>
    <font>
      <sz val="12"/>
      <name val="Arial"/>
      <family val="2"/>
      <scheme val="minor"/>
    </font>
    <font>
      <b/>
      <sz val="18"/>
      <color theme="4" tint="-0.499984740745262"/>
      <name val="Arial"/>
      <family val="2"/>
      <scheme val="major"/>
    </font>
    <font>
      <b/>
      <sz val="24"/>
      <color theme="4" tint="-0.499984740745262"/>
      <name val="Arial"/>
      <family val="2"/>
      <scheme val="minor"/>
    </font>
    <font>
      <b/>
      <sz val="17"/>
      <color theme="4" tint="-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sz val="14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i/>
      <sz val="14"/>
      <name val="Arial"/>
      <family val="2"/>
      <scheme val="minor"/>
    </font>
    <font>
      <sz val="14"/>
      <color theme="1"/>
      <name val="Arial"/>
      <family val="2"/>
      <scheme val="minor"/>
    </font>
    <font>
      <sz val="8"/>
      <name val="Arial"/>
      <family val="2"/>
      <scheme val="minor"/>
    </font>
    <font>
      <sz val="28"/>
      <name val="Arial"/>
      <family val="2"/>
      <scheme val="minor"/>
    </font>
    <font>
      <sz val="30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theme="1"/>
      <name val="Book Antiqua"/>
      <family val="1"/>
    </font>
    <font>
      <i/>
      <sz val="11"/>
      <color theme="1"/>
      <name val="Book Antiqua"/>
      <family val="1"/>
    </font>
    <font>
      <sz val="11"/>
      <color rgb="FF006100"/>
      <name val="Book Antiqua"/>
      <family val="1"/>
    </font>
    <font>
      <sz val="11"/>
      <color rgb="FF9C0006"/>
      <name val="Book Antiqua"/>
      <family val="1"/>
    </font>
    <font>
      <sz val="11"/>
      <color rgb="FF9C5700"/>
      <name val="Book Antiqua"/>
      <family val="1"/>
    </font>
    <font>
      <sz val="11"/>
      <color theme="0"/>
      <name val="Book Antiqua"/>
      <family val="1"/>
    </font>
    <font>
      <sz val="14"/>
      <color theme="1"/>
      <name val="Arial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theme="3" tint="0.59999389629810485"/>
      </bottom>
      <diagonal/>
    </border>
    <border>
      <left style="double">
        <color auto="1"/>
      </left>
      <right/>
      <top style="thin">
        <color theme="0"/>
      </top>
      <bottom/>
      <diagonal/>
    </border>
    <border>
      <left/>
      <right style="double">
        <color auto="1"/>
      </right>
      <top style="double">
        <color theme="0"/>
      </top>
      <bottom/>
      <diagonal/>
    </border>
    <border>
      <left/>
      <right style="double">
        <color auto="1"/>
      </right>
      <top style="thin">
        <color theme="0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theme="0"/>
      </left>
      <right style="double">
        <color auto="1"/>
      </right>
      <top/>
      <bottom/>
      <diagonal/>
    </border>
    <border>
      <left style="double">
        <color auto="1"/>
      </left>
      <right/>
      <top style="double">
        <color theme="0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7" tint="0.59999389629810485"/>
      </top>
      <bottom/>
      <diagonal/>
    </border>
    <border>
      <left style="double">
        <color auto="1"/>
      </left>
      <right/>
      <top style="double">
        <color theme="0"/>
      </top>
      <bottom style="double">
        <color auto="1"/>
      </bottom>
      <diagonal/>
    </border>
    <border>
      <left style="thin">
        <color theme="8" tint="0.39994506668294322"/>
      </left>
      <right/>
      <top/>
      <bottom/>
      <diagonal/>
    </border>
    <border>
      <left/>
      <right style="thin">
        <color theme="8" tint="0.39994506668294322"/>
      </right>
      <top/>
      <bottom/>
      <diagonal/>
    </border>
    <border>
      <left/>
      <right/>
      <top/>
      <bottom style="thin">
        <color theme="8" tint="0.59999389629810485"/>
      </bottom>
      <diagonal/>
    </border>
    <border>
      <left/>
      <right/>
      <top style="thin">
        <color theme="8" tint="0.59999389629810485"/>
      </top>
      <bottom/>
      <diagonal/>
    </border>
    <border>
      <left/>
      <right/>
      <top/>
      <bottom style="thin">
        <color theme="5" tint="-9.9978637043366805E-2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theme="9" tint="0.59999389629810485"/>
      </bottom>
      <diagonal/>
    </border>
    <border>
      <left/>
      <right/>
      <top style="thin">
        <color theme="9" tint="0.59999389629810485"/>
      </top>
      <bottom/>
      <diagonal/>
    </border>
    <border>
      <left/>
      <right/>
      <top/>
      <bottom style="thin">
        <color theme="6" tint="0.59999389629810485"/>
      </bottom>
      <diagonal/>
    </border>
    <border>
      <left/>
      <right/>
      <top/>
      <bottom style="thin">
        <color theme="8" tint="0.3999145481734672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theme="4" tint="0.79995117038483843"/>
      </left>
      <right style="thin">
        <color theme="0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</borders>
  <cellStyleXfs count="20">
    <xf numFmtId="0" fontId="0" fillId="0" borderId="0">
      <alignment wrapText="1"/>
    </xf>
    <xf numFmtId="0" fontId="18" fillId="0" borderId="0" applyFill="0" applyBorder="0" applyProtection="0">
      <alignment horizontal="center" vertical="center"/>
    </xf>
    <xf numFmtId="164" fontId="19" fillId="0" borderId="0" applyFill="0" applyBorder="0" applyProtection="0">
      <alignment horizontal="center" vertical="center"/>
    </xf>
    <xf numFmtId="0" fontId="20" fillId="0" borderId="0" applyFill="0" applyProtection="0">
      <alignment horizontal="left" vertical="center" indent="2"/>
    </xf>
    <xf numFmtId="0" fontId="16" fillId="0" borderId="0" applyNumberFormat="0" applyFill="0" applyBorder="0" applyProtection="0">
      <alignment horizontal="left" vertical="center"/>
    </xf>
    <xf numFmtId="0" fontId="16" fillId="0" borderId="0" applyFill="0" applyBorder="0" applyProtection="0"/>
    <xf numFmtId="0" fontId="5" fillId="0" borderId="32" applyNumberFormat="0" applyFont="0" applyFill="0" applyAlignment="0" applyProtection="0">
      <alignment horizontal="center"/>
    </xf>
    <xf numFmtId="165" fontId="11" fillId="0" borderId="0" applyNumberFormat="0" applyFill="0" applyBorder="0">
      <alignment horizontal="left" vertical="center" indent="1"/>
    </xf>
    <xf numFmtId="1" fontId="21" fillId="0" borderId="0" applyFill="0" applyBorder="0">
      <alignment horizontal="center"/>
    </xf>
    <xf numFmtId="0" fontId="22" fillId="0" borderId="0">
      <alignment vertical="center"/>
    </xf>
    <xf numFmtId="0" fontId="5" fillId="0" borderId="33" applyNumberFormat="0" applyFont="0" applyFill="0" applyAlignment="0" applyProtection="0"/>
    <xf numFmtId="0" fontId="8" fillId="0" borderId="0" applyNumberFormat="0" applyFill="0" applyBorder="0" applyAlignment="0">
      <alignment wrapText="1"/>
    </xf>
    <xf numFmtId="20" fontId="5" fillId="0" borderId="0" applyFill="0" applyBorder="0">
      <alignment horizontal="left" indent="1"/>
    </xf>
    <xf numFmtId="0" fontId="22" fillId="0" borderId="34" applyNumberFormat="0" applyFont="0" applyFill="0" applyAlignment="0" applyProtection="0">
      <alignment horizontal="left" vertical="center" indent="2"/>
    </xf>
    <xf numFmtId="0" fontId="8" fillId="10" borderId="35">
      <alignment horizontal="left" indent="1"/>
    </xf>
    <xf numFmtId="0" fontId="5" fillId="11" borderId="0" applyFont="0" applyBorder="0">
      <alignment horizontal="left" vertical="top" indent="1"/>
    </xf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1" fillId="0" borderId="0">
      <alignment wrapText="1"/>
    </xf>
  </cellStyleXfs>
  <cellXfs count="218">
    <xf numFmtId="0" fontId="0" fillId="0" borderId="0" xfId="0">
      <alignment wrapText="1"/>
    </xf>
    <xf numFmtId="0" fontId="0" fillId="2" borderId="0" xfId="0" applyFill="1">
      <alignment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vertical="center" wrapText="1"/>
    </xf>
    <xf numFmtId="0" fontId="0" fillId="3" borderId="0" xfId="0" applyFill="1">
      <alignment wrapText="1"/>
    </xf>
    <xf numFmtId="0" fontId="3" fillId="3" borderId="0" xfId="3" applyFont="1" applyFill="1" applyAlignment="1" applyProtection="1">
      <alignment horizontal="left" vertical="center"/>
    </xf>
    <xf numFmtId="0" fontId="0" fillId="0" borderId="1" xfId="0" applyBorder="1">
      <alignment wrapText="1"/>
    </xf>
    <xf numFmtId="0" fontId="0" fillId="0" borderId="2" xfId="0" applyBorder="1">
      <alignment wrapText="1"/>
    </xf>
    <xf numFmtId="0" fontId="0" fillId="0" borderId="3" xfId="0" applyBorder="1">
      <alignment wrapText="1"/>
    </xf>
    <xf numFmtId="0" fontId="0" fillId="0" borderId="4" xfId="0" applyBorder="1">
      <alignment wrapText="1"/>
    </xf>
    <xf numFmtId="164" fontId="4" fillId="0" borderId="0" xfId="2" applyFont="1" applyBorder="1" applyAlignment="1" applyProtection="1">
      <alignment horizontal="left" vertical="center"/>
    </xf>
    <xf numFmtId="0" fontId="0" fillId="3" borderId="0" xfId="10" applyFont="1" applyFill="1" applyBorder="1" applyAlignment="1" applyProtection="1">
      <alignment wrapText="1"/>
    </xf>
    <xf numFmtId="0" fontId="0" fillId="0" borderId="0" xfId="10" applyFont="1" applyFill="1" applyBorder="1" applyAlignment="1" applyProtection="1">
      <alignment wrapText="1"/>
    </xf>
    <xf numFmtId="0" fontId="0" fillId="0" borderId="4" xfId="10" applyFont="1" applyFill="1" applyBorder="1" applyAlignment="1" applyProtection="1">
      <alignment wrapText="1"/>
    </xf>
    <xf numFmtId="0" fontId="5" fillId="0" borderId="0" xfId="0" applyFont="1">
      <alignment wrapText="1"/>
    </xf>
    <xf numFmtId="0" fontId="0" fillId="0" borderId="5" xfId="10" applyFont="1" applyFill="1" applyBorder="1" applyAlignment="1" applyProtection="1">
      <alignment wrapText="1"/>
    </xf>
    <xf numFmtId="0" fontId="0" fillId="0" borderId="3" xfId="6" applyFont="1" applyBorder="1" applyAlignment="1" applyProtection="1">
      <alignment wrapText="1"/>
    </xf>
    <xf numFmtId="0" fontId="6" fillId="0" borderId="0" xfId="4" applyFont="1" applyBorder="1" applyAlignment="1" applyProtection="1">
      <alignment vertical="center"/>
    </xf>
    <xf numFmtId="0" fontId="7" fillId="0" borderId="0" xfId="4" applyFont="1" applyBorder="1" applyAlignment="1" applyProtection="1">
      <alignment horizontal="left" vertical="center" indent="2"/>
    </xf>
    <xf numFmtId="0" fontId="8" fillId="3" borderId="0" xfId="11" applyFill="1" applyBorder="1" applyAlignment="1">
      <alignment wrapText="1"/>
    </xf>
    <xf numFmtId="0" fontId="8" fillId="0" borderId="0" xfId="11" applyFill="1" applyBorder="1" applyAlignment="1">
      <alignment wrapText="1"/>
    </xf>
    <xf numFmtId="0" fontId="8" fillId="0" borderId="4" xfId="11" applyFill="1" applyBorder="1" applyAlignment="1">
      <alignment wrapText="1"/>
    </xf>
    <xf numFmtId="20" fontId="9" fillId="0" borderId="0" xfId="12" applyFont="1" applyFill="1" applyBorder="1">
      <alignment horizontal="left" indent="1"/>
    </xf>
    <xf numFmtId="20" fontId="10" fillId="0" borderId="0" xfId="15" applyNumberFormat="1" applyFont="1" applyFill="1" applyBorder="1">
      <alignment horizontal="left" vertical="top" indent="1"/>
    </xf>
    <xf numFmtId="0" fontId="8" fillId="0" borderId="5" xfId="11" applyFill="1" applyBorder="1" applyAlignment="1">
      <alignment wrapText="1"/>
    </xf>
    <xf numFmtId="20" fontId="9" fillId="0" borderId="1" xfId="12" applyFont="1" applyFill="1" applyBorder="1">
      <alignment horizontal="left" indent="1"/>
    </xf>
    <xf numFmtId="0" fontId="9" fillId="0" borderId="0" xfId="13" applyNumberFormat="1" applyFont="1" applyBorder="1" applyAlignment="1" applyProtection="1">
      <alignment horizontal="left" vertical="center" indent="1"/>
    </xf>
    <xf numFmtId="165" fontId="11" fillId="0" borderId="0" xfId="7" applyNumberFormat="1" applyFill="1" applyBorder="1">
      <alignment horizontal="left" vertical="center" indent="1"/>
    </xf>
    <xf numFmtId="0" fontId="0" fillId="0" borderId="6" xfId="0" applyBorder="1">
      <alignment wrapText="1"/>
    </xf>
    <xf numFmtId="0" fontId="9" fillId="0" borderId="7" xfId="13" applyNumberFormat="1" applyFont="1" applyBorder="1" applyAlignment="1" applyProtection="1">
      <alignment horizontal="left" vertical="center" indent="1"/>
    </xf>
    <xf numFmtId="165" fontId="13" fillId="0" borderId="7" xfId="7" applyNumberFormat="1" applyFont="1" applyFill="1" applyBorder="1">
      <alignment horizontal="left" vertical="center" indent="1"/>
    </xf>
    <xf numFmtId="165" fontId="13" fillId="0" borderId="7" xfId="6" applyNumberFormat="1" applyFont="1" applyFill="1" applyBorder="1" applyAlignment="1" applyProtection="1">
      <alignment horizontal="left" vertical="center" indent="1"/>
    </xf>
    <xf numFmtId="0" fontId="0" fillId="0" borderId="8" xfId="0" applyBorder="1">
      <alignment wrapText="1"/>
    </xf>
    <xf numFmtId="0" fontId="7" fillId="0" borderId="0" xfId="4" applyFont="1" applyBorder="1" applyProtection="1">
      <alignment horizontal="left" vertical="center"/>
    </xf>
    <xf numFmtId="0" fontId="9" fillId="2" borderId="7" xfId="10" applyFont="1" applyFill="1" applyBorder="1" applyAlignment="1" applyProtection="1">
      <alignment horizontal="left" vertical="center" indent="1"/>
    </xf>
    <xf numFmtId="0" fontId="10" fillId="2" borderId="7" xfId="15" applyFont="1" applyFill="1" applyBorder="1">
      <alignment horizontal="left" vertical="top" indent="1"/>
    </xf>
    <xf numFmtId="20" fontId="13" fillId="2" borderId="7" xfId="12" applyFont="1" applyFill="1" applyBorder="1">
      <alignment horizontal="left" indent="1"/>
    </xf>
    <xf numFmtId="0" fontId="14" fillId="2" borderId="7" xfId="15" applyFont="1" applyFill="1" applyBorder="1">
      <alignment horizontal="left" vertical="top" indent="1"/>
    </xf>
    <xf numFmtId="0" fontId="10" fillId="2" borderId="8" xfId="15" applyFont="1" applyFill="1" applyBorder="1">
      <alignment horizontal="left" vertical="top" indent="1"/>
    </xf>
    <xf numFmtId="0" fontId="0" fillId="3" borderId="9" xfId="0" applyFill="1" applyBorder="1">
      <alignment wrapText="1"/>
    </xf>
    <xf numFmtId="0" fontId="15" fillId="0" borderId="0" xfId="0" applyFont="1">
      <alignment wrapText="1"/>
    </xf>
    <xf numFmtId="0" fontId="16" fillId="0" borderId="2" xfId="5" applyBorder="1" applyAlignment="1">
      <alignment horizontal="left" indent="1"/>
    </xf>
    <xf numFmtId="0" fontId="5" fillId="0" borderId="6" xfId="0" applyFont="1" applyBorder="1" applyAlignment="1">
      <alignment vertical="center" wrapText="1"/>
    </xf>
    <xf numFmtId="0" fontId="4" fillId="0" borderId="10" xfId="3" applyFont="1" applyBorder="1">
      <alignment horizontal="left" vertical="center" indent="2"/>
    </xf>
    <xf numFmtId="0" fontId="0" fillId="0" borderId="11" xfId="0" applyBorder="1" applyAlignment="1">
      <alignment vertical="center"/>
    </xf>
    <xf numFmtId="0" fontId="11" fillId="2" borderId="0" xfId="13" applyNumberFormat="1" applyFont="1" applyFill="1" applyBorder="1" applyAlignment="1" applyProtection="1">
      <alignment horizontal="left" vertical="center" indent="1"/>
    </xf>
    <xf numFmtId="0" fontId="16" fillId="0" borderId="4" xfId="5" applyBorder="1" applyAlignment="1">
      <alignment horizontal="left" indent="1"/>
    </xf>
    <xf numFmtId="0" fontId="5" fillId="0" borderId="12" xfId="0" applyFont="1" applyBorder="1" applyAlignment="1">
      <alignment vertical="center" wrapText="1"/>
    </xf>
    <xf numFmtId="165" fontId="11" fillId="2" borderId="0" xfId="7" applyNumberFormat="1" applyFill="1" applyBorder="1">
      <alignment horizontal="left" vertical="center" indent="1"/>
    </xf>
    <xf numFmtId="0" fontId="9" fillId="0" borderId="13" xfId="5" applyFont="1" applyBorder="1" applyAlignment="1">
      <alignment vertical="center"/>
    </xf>
    <xf numFmtId="0" fontId="13" fillId="0" borderId="4" xfId="5" applyFont="1" applyBorder="1" applyAlignment="1">
      <alignment vertical="center"/>
    </xf>
    <xf numFmtId="0" fontId="9" fillId="0" borderId="4" xfId="5" applyFont="1" applyBorder="1" applyAlignment="1">
      <alignment horizontal="left" indent="4"/>
    </xf>
    <xf numFmtId="165" fontId="11" fillId="2" borderId="7" xfId="7" applyNumberFormat="1" applyFill="1" applyBorder="1">
      <alignment horizontal="left" vertical="center" indent="1"/>
    </xf>
    <xf numFmtId="165" fontId="11" fillId="2" borderId="0" xfId="6" applyNumberFormat="1" applyFont="1" applyFill="1" applyBorder="1" applyAlignment="1" applyProtection="1">
      <alignment horizontal="left" vertical="center" indent="1"/>
    </xf>
    <xf numFmtId="0" fontId="0" fillId="0" borderId="4" xfId="0" applyBorder="1" applyAlignment="1">
      <alignment horizontal="left" wrapText="1" indent="1"/>
    </xf>
    <xf numFmtId="0" fontId="0" fillId="2" borderId="0" xfId="13" applyFont="1" applyFill="1" applyBorder="1" applyAlignment="1" applyProtection="1">
      <alignment wrapText="1"/>
    </xf>
    <xf numFmtId="0" fontId="9" fillId="0" borderId="14" xfId="0" applyFont="1" applyBorder="1" applyAlignment="1">
      <alignment horizontal="left" vertical="center" wrapText="1"/>
    </xf>
    <xf numFmtId="0" fontId="8" fillId="2" borderId="0" xfId="10" applyFont="1" applyFill="1" applyBorder="1" applyAlignment="1" applyProtection="1">
      <alignment horizontal="left" indent="1"/>
    </xf>
    <xf numFmtId="0" fontId="13" fillId="0" borderId="14" xfId="0" applyFont="1" applyBorder="1" applyAlignment="1">
      <alignment vertical="center" wrapText="1"/>
    </xf>
    <xf numFmtId="0" fontId="0" fillId="2" borderId="15" xfId="0" applyFill="1" applyBorder="1">
      <alignment wrapText="1"/>
    </xf>
    <xf numFmtId="0" fontId="9" fillId="0" borderId="16" xfId="5" applyFont="1" applyBorder="1" applyAlignment="1">
      <alignment horizontal="left" indent="1"/>
    </xf>
    <xf numFmtId="0" fontId="9" fillId="0" borderId="4" xfId="5" applyFont="1" applyBorder="1" applyAlignment="1">
      <alignment horizontal="left" indent="1"/>
    </xf>
    <xf numFmtId="0" fontId="0" fillId="4" borderId="0" xfId="0" applyFill="1">
      <alignment wrapText="1"/>
    </xf>
    <xf numFmtId="0" fontId="3" fillId="4" borderId="0" xfId="3" applyFont="1" applyFill="1" applyAlignment="1" applyProtection="1">
      <alignment horizontal="left" vertical="center"/>
    </xf>
    <xf numFmtId="0" fontId="0" fillId="4" borderId="0" xfId="10" applyFont="1" applyFill="1" applyBorder="1" applyAlignment="1" applyProtection="1">
      <alignment wrapText="1"/>
    </xf>
    <xf numFmtId="0" fontId="0" fillId="4" borderId="18" xfId="0" applyFill="1" applyBorder="1">
      <alignment wrapText="1"/>
    </xf>
    <xf numFmtId="0" fontId="0" fillId="5" borderId="0" xfId="0" applyFill="1">
      <alignment wrapText="1"/>
    </xf>
    <xf numFmtId="0" fontId="3" fillId="5" borderId="0" xfId="3" applyFont="1" applyFill="1" applyAlignment="1" applyProtection="1">
      <alignment horizontal="left" vertical="center"/>
    </xf>
    <xf numFmtId="0" fontId="0" fillId="5" borderId="0" xfId="10" applyFont="1" applyFill="1" applyBorder="1" applyAlignment="1" applyProtection="1">
      <alignment wrapText="1"/>
    </xf>
    <xf numFmtId="0" fontId="8" fillId="5" borderId="0" xfId="11" applyFill="1" applyBorder="1" applyAlignment="1">
      <alignment wrapText="1"/>
    </xf>
    <xf numFmtId="0" fontId="13" fillId="0" borderId="17" xfId="0" applyFont="1" applyBorder="1" applyAlignment="1">
      <alignment vertical="center" wrapText="1"/>
    </xf>
    <xf numFmtId="0" fontId="0" fillId="6" borderId="0" xfId="0" applyFill="1">
      <alignment wrapText="1"/>
    </xf>
    <xf numFmtId="0" fontId="3" fillId="6" borderId="0" xfId="3" applyFont="1" applyFill="1" applyAlignment="1" applyProtection="1">
      <alignment horizontal="left" vertical="center"/>
    </xf>
    <xf numFmtId="0" fontId="0" fillId="6" borderId="0" xfId="10" applyFont="1" applyFill="1" applyBorder="1" applyAlignment="1" applyProtection="1">
      <alignment wrapText="1"/>
    </xf>
    <xf numFmtId="0" fontId="8" fillId="6" borderId="0" xfId="11" applyFill="1" applyBorder="1" applyAlignment="1">
      <alignment wrapText="1"/>
    </xf>
    <xf numFmtId="0" fontId="0" fillId="2" borderId="19" xfId="0" applyFill="1" applyBorder="1">
      <alignment wrapText="1"/>
    </xf>
    <xf numFmtId="0" fontId="9" fillId="0" borderId="20" xfId="5" applyFont="1" applyBorder="1" applyAlignment="1">
      <alignment horizontal="left" indent="1"/>
    </xf>
    <xf numFmtId="0" fontId="0" fillId="7" borderId="0" xfId="0" applyFill="1">
      <alignment wrapText="1"/>
    </xf>
    <xf numFmtId="0" fontId="3" fillId="7" borderId="0" xfId="3" applyFont="1" applyFill="1" applyAlignment="1" applyProtection="1">
      <alignment horizontal="left" vertical="center"/>
    </xf>
    <xf numFmtId="0" fontId="0" fillId="7" borderId="0" xfId="10" applyFont="1" applyFill="1" applyBorder="1" applyAlignment="1" applyProtection="1">
      <alignment wrapText="1"/>
    </xf>
    <xf numFmtId="0" fontId="8" fillId="0" borderId="21" xfId="11" applyFill="1" applyBorder="1" applyAlignment="1">
      <alignment wrapText="1"/>
    </xf>
    <xf numFmtId="0" fontId="8" fillId="7" borderId="22" xfId="11" applyFill="1" applyBorder="1" applyAlignment="1">
      <alignment wrapText="1"/>
    </xf>
    <xf numFmtId="0" fontId="0" fillId="7" borderId="23" xfId="0" applyFill="1" applyBorder="1">
      <alignment wrapText="1"/>
    </xf>
    <xf numFmtId="0" fontId="0" fillId="2" borderId="24" xfId="0" applyFill="1" applyBorder="1">
      <alignment wrapText="1"/>
    </xf>
    <xf numFmtId="0" fontId="0" fillId="7" borderId="21" xfId="0" applyFill="1" applyBorder="1">
      <alignment wrapText="1"/>
    </xf>
    <xf numFmtId="0" fontId="0" fillId="8" borderId="0" xfId="0" applyFill="1">
      <alignment wrapText="1"/>
    </xf>
    <xf numFmtId="0" fontId="3" fillId="8" borderId="0" xfId="3" applyFont="1" applyFill="1" applyAlignment="1" applyProtection="1">
      <alignment horizontal="left" vertical="center"/>
    </xf>
    <xf numFmtId="0" fontId="0" fillId="8" borderId="0" xfId="10" applyFont="1" applyFill="1" applyBorder="1" applyAlignment="1" applyProtection="1">
      <alignment wrapText="1"/>
    </xf>
    <xf numFmtId="0" fontId="0" fillId="8" borderId="25" xfId="0" applyFill="1" applyBorder="1">
      <alignment wrapText="1"/>
    </xf>
    <xf numFmtId="0" fontId="13" fillId="0" borderId="4" xfId="5" applyFont="1" applyBorder="1" applyAlignment="1">
      <alignment vertical="center" wrapText="1"/>
    </xf>
    <xf numFmtId="0" fontId="0" fillId="9" borderId="0" xfId="0" applyFill="1">
      <alignment wrapText="1"/>
    </xf>
    <xf numFmtId="0" fontId="3" fillId="9" borderId="0" xfId="3" applyFont="1" applyFill="1" applyAlignment="1" applyProtection="1">
      <alignment horizontal="left" vertical="center"/>
    </xf>
    <xf numFmtId="0" fontId="0" fillId="9" borderId="0" xfId="10" applyFont="1" applyFill="1" applyBorder="1" applyAlignment="1" applyProtection="1">
      <alignment wrapText="1"/>
    </xf>
    <xf numFmtId="0" fontId="8" fillId="9" borderId="0" xfId="11" applyFill="1" applyBorder="1" applyAlignment="1">
      <alignment wrapText="1"/>
    </xf>
    <xf numFmtId="0" fontId="0" fillId="9" borderId="28" xfId="0" applyFill="1" applyBorder="1">
      <alignment wrapText="1"/>
    </xf>
    <xf numFmtId="0" fontId="0" fillId="2" borderId="29" xfId="0" applyFill="1" applyBorder="1">
      <alignment wrapText="1"/>
    </xf>
    <xf numFmtId="0" fontId="0" fillId="5" borderId="30" xfId="0" applyFill="1" applyBorder="1">
      <alignment wrapText="1"/>
    </xf>
    <xf numFmtId="0" fontId="0" fillId="7" borderId="22" xfId="0" applyFill="1" applyBorder="1">
      <alignment wrapText="1"/>
    </xf>
    <xf numFmtId="0" fontId="0" fillId="7" borderId="22" xfId="10" applyFont="1" applyFill="1" applyBorder="1" applyAlignment="1" applyProtection="1">
      <alignment wrapText="1"/>
    </xf>
    <xf numFmtId="165" fontId="17" fillId="0" borderId="0" xfId="7" applyNumberFormat="1" applyFont="1" applyFill="1" applyBorder="1">
      <alignment horizontal="left" vertical="center" indent="1"/>
    </xf>
    <xf numFmtId="165" fontId="17" fillId="2" borderId="0" xfId="7" applyNumberFormat="1" applyFont="1" applyFill="1" applyBorder="1">
      <alignment horizontal="left" vertical="center" indent="1"/>
    </xf>
    <xf numFmtId="165" fontId="17" fillId="0" borderId="0" xfId="6" applyNumberFormat="1" applyFont="1" applyFill="1" applyBorder="1" applyAlignment="1" applyProtection="1">
      <alignment horizontal="left" vertical="center" indent="1"/>
    </xf>
    <xf numFmtId="0" fontId="0" fillId="7" borderId="31" xfId="0" applyFill="1" applyBorder="1">
      <alignment wrapText="1"/>
    </xf>
    <xf numFmtId="0" fontId="15" fillId="0" borderId="1" xfId="0" applyFont="1" applyBorder="1" applyAlignment="1">
      <alignment horizontal="left" wrapText="1" indent="1"/>
    </xf>
    <xf numFmtId="0" fontId="23" fillId="0" borderId="14" xfId="0" applyFont="1" applyBorder="1" applyAlignment="1">
      <alignment vertical="center" wrapText="1"/>
    </xf>
    <xf numFmtId="0" fontId="24" fillId="0" borderId="4" xfId="5" applyFont="1" applyBorder="1" applyAlignment="1">
      <alignment vertical="center"/>
    </xf>
    <xf numFmtId="0" fontId="15" fillId="0" borderId="0" xfId="0" applyFont="1" applyAlignment="1">
      <alignment horizontal="left" wrapText="1" indent="1"/>
    </xf>
    <xf numFmtId="0" fontId="16" fillId="0" borderId="3" xfId="5" applyBorder="1" applyAlignment="1">
      <alignment horizontal="left" indent="1"/>
    </xf>
    <xf numFmtId="0" fontId="4" fillId="0" borderId="0" xfId="3" applyFont="1">
      <alignment horizontal="left" vertical="center" indent="2"/>
    </xf>
    <xf numFmtId="0" fontId="25" fillId="0" borderId="0" xfId="5" applyFont="1" applyBorder="1" applyAlignment="1">
      <alignment horizontal="left" indent="1"/>
    </xf>
    <xf numFmtId="0" fontId="24" fillId="0" borderId="36" xfId="5" applyFont="1" applyBorder="1" applyAlignment="1">
      <alignment vertical="center"/>
    </xf>
    <xf numFmtId="0" fontId="9" fillId="0" borderId="26" xfId="0" applyFont="1" applyBorder="1" applyAlignment="1">
      <alignment horizontal="left" vertical="center" wrapText="1"/>
    </xf>
    <xf numFmtId="0" fontId="9" fillId="0" borderId="38" xfId="5" applyFont="1" applyBorder="1" applyAlignment="1">
      <alignment horizontal="left" indent="4"/>
    </xf>
    <xf numFmtId="0" fontId="23" fillId="0" borderId="38" xfId="5" applyFont="1" applyBorder="1" applyAlignment="1">
      <alignment vertical="center"/>
    </xf>
    <xf numFmtId="0" fontId="26" fillId="0" borderId="4" xfId="5" applyFont="1" applyBorder="1" applyAlignment="1">
      <alignment vertical="center"/>
    </xf>
    <xf numFmtId="0" fontId="2" fillId="0" borderId="0" xfId="0" applyFont="1">
      <alignment wrapText="1"/>
    </xf>
    <xf numFmtId="0" fontId="23" fillId="0" borderId="38" xfId="5" applyFont="1" applyBorder="1" applyAlignment="1">
      <alignment vertical="center" wrapText="1"/>
    </xf>
    <xf numFmtId="0" fontId="9" fillId="0" borderId="39" xfId="5" applyFont="1" applyBorder="1" applyAlignment="1">
      <alignment horizontal="left" indent="4"/>
    </xf>
    <xf numFmtId="0" fontId="27" fillId="2" borderId="14" xfId="0" applyFont="1" applyFill="1" applyBorder="1" applyAlignment="1">
      <alignment vertical="center" wrapText="1"/>
    </xf>
    <xf numFmtId="0" fontId="29" fillId="0" borderId="0" xfId="4" applyFont="1" applyBorder="1" applyAlignment="1" applyProtection="1">
      <alignment vertical="center"/>
    </xf>
    <xf numFmtId="0" fontId="30" fillId="0" borderId="0" xfId="4" applyFont="1" applyBorder="1" applyAlignment="1" applyProtection="1">
      <alignment vertical="center"/>
    </xf>
    <xf numFmtId="0" fontId="0" fillId="0" borderId="0" xfId="0" pivotButton="1">
      <alignment wrapText="1"/>
    </xf>
    <xf numFmtId="0" fontId="0" fillId="0" borderId="0" xfId="0" applyAlignment="1">
      <alignment horizontal="left" wrapText="1"/>
    </xf>
    <xf numFmtId="17" fontId="34" fillId="0" borderId="0" xfId="0" applyNumberFormat="1" applyFont="1">
      <alignment wrapText="1"/>
    </xf>
    <xf numFmtId="0" fontId="35" fillId="0" borderId="0" xfId="0" applyFont="1" applyAlignment="1">
      <alignment horizontal="right" wrapText="1"/>
    </xf>
    <xf numFmtId="0" fontId="34" fillId="0" borderId="0" xfId="0" applyFont="1">
      <alignment wrapText="1"/>
    </xf>
    <xf numFmtId="0" fontId="36" fillId="12" borderId="40" xfId="16" applyFont="1" applyBorder="1" applyAlignment="1">
      <alignment wrapText="1"/>
    </xf>
    <xf numFmtId="0" fontId="36" fillId="12" borderId="41" xfId="16" applyFont="1" applyBorder="1" applyAlignment="1">
      <alignment wrapText="1"/>
    </xf>
    <xf numFmtId="0" fontId="37" fillId="13" borderId="40" xfId="17" applyFont="1" applyBorder="1" applyAlignment="1">
      <alignment wrapText="1"/>
    </xf>
    <xf numFmtId="0" fontId="37" fillId="13" borderId="41" xfId="17" applyFont="1" applyBorder="1" applyAlignment="1">
      <alignment wrapText="1"/>
    </xf>
    <xf numFmtId="0" fontId="38" fillId="14" borderId="40" xfId="18" applyFont="1" applyBorder="1" applyAlignment="1">
      <alignment wrapText="1"/>
    </xf>
    <xf numFmtId="0" fontId="38" fillId="14" borderId="46" xfId="18" applyFont="1" applyBorder="1" applyAlignment="1">
      <alignment wrapText="1"/>
    </xf>
    <xf numFmtId="0" fontId="38" fillId="14" borderId="41" xfId="18" applyFont="1" applyBorder="1" applyAlignment="1">
      <alignment wrapText="1"/>
    </xf>
    <xf numFmtId="0" fontId="39" fillId="10" borderId="35" xfId="14" applyFont="1">
      <alignment horizontal="left" indent="1"/>
    </xf>
    <xf numFmtId="0" fontId="34" fillId="0" borderId="42" xfId="0" applyFont="1" applyBorder="1">
      <alignment wrapText="1"/>
    </xf>
    <xf numFmtId="0" fontId="34" fillId="0" borderId="43" xfId="0" applyFont="1" applyBorder="1">
      <alignment wrapText="1"/>
    </xf>
    <xf numFmtId="0" fontId="34" fillId="0" borderId="47" xfId="0" applyFont="1" applyBorder="1">
      <alignment wrapText="1"/>
    </xf>
    <xf numFmtId="0" fontId="34" fillId="0" borderId="44" xfId="0" applyFont="1" applyBorder="1">
      <alignment wrapText="1"/>
    </xf>
    <xf numFmtId="0" fontId="34" fillId="0" borderId="48" xfId="0" applyFont="1" applyBorder="1">
      <alignment wrapText="1"/>
    </xf>
    <xf numFmtId="0" fontId="34" fillId="0" borderId="45" xfId="0" applyFont="1" applyBorder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3" fillId="2" borderId="0" xfId="6" applyFont="1" applyFill="1" applyBorder="1" applyAlignment="1">
      <alignment horizontal="left" vertical="center" wrapText="1"/>
    </xf>
    <xf numFmtId="0" fontId="27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20" fontId="13" fillId="2" borderId="0" xfId="12" applyFont="1" applyFill="1" applyBorder="1">
      <alignment horizontal="left" indent="1"/>
    </xf>
    <xf numFmtId="0" fontId="10" fillId="0" borderId="0" xfId="15" applyFont="1" applyFill="1" applyBorder="1" applyAlignment="1">
      <alignment vertical="top"/>
    </xf>
    <xf numFmtId="0" fontId="8" fillId="0" borderId="3" xfId="11" applyFill="1" applyBorder="1" applyAlignment="1">
      <alignment wrapText="1"/>
    </xf>
    <xf numFmtId="20" fontId="9" fillId="0" borderId="3" xfId="12" applyFont="1" applyFill="1" applyBorder="1">
      <alignment horizontal="left" indent="1"/>
    </xf>
    <xf numFmtId="0" fontId="10" fillId="2" borderId="3" xfId="15" applyFont="1" applyFill="1" applyBorder="1">
      <alignment horizontal="left" vertical="top" indent="1"/>
    </xf>
    <xf numFmtId="20" fontId="10" fillId="0" borderId="3" xfId="15" applyNumberFormat="1" applyFont="1" applyFill="1" applyBorder="1">
      <alignment horizontal="left" vertical="top" indent="1"/>
    </xf>
    <xf numFmtId="0" fontId="10" fillId="0" borderId="3" xfId="15" applyFont="1" applyFill="1" applyBorder="1" applyAlignment="1">
      <alignment vertical="top"/>
    </xf>
    <xf numFmtId="20" fontId="13" fillId="2" borderId="3" xfId="12" applyFont="1" applyFill="1" applyBorder="1">
      <alignment horizontal="left" indent="1"/>
    </xf>
    <xf numFmtId="0" fontId="23" fillId="0" borderId="14" xfId="5" applyFont="1" applyBorder="1" applyAlignment="1">
      <alignment vertical="center"/>
    </xf>
    <xf numFmtId="0" fontId="23" fillId="0" borderId="36" xfId="5" applyFont="1" applyBorder="1" applyAlignment="1">
      <alignment vertical="center" wrapText="1"/>
    </xf>
    <xf numFmtId="0" fontId="13" fillId="0" borderId="38" xfId="5" applyFont="1" applyBorder="1" applyAlignment="1">
      <alignment vertical="center"/>
    </xf>
    <xf numFmtId="0" fontId="23" fillId="2" borderId="14" xfId="6" applyFont="1" applyFill="1" applyBorder="1" applyAlignment="1">
      <alignment vertical="center" wrapText="1"/>
    </xf>
    <xf numFmtId="0" fontId="24" fillId="0" borderId="38" xfId="5" applyFont="1" applyBorder="1" applyAlignment="1">
      <alignment vertical="center"/>
    </xf>
    <xf numFmtId="0" fontId="1" fillId="6" borderId="0" xfId="19" applyFill="1">
      <alignment wrapText="1"/>
    </xf>
    <xf numFmtId="0" fontId="1" fillId="0" borderId="0" xfId="19">
      <alignment wrapText="1"/>
    </xf>
    <xf numFmtId="0" fontId="1" fillId="0" borderId="1" xfId="19" applyBorder="1">
      <alignment wrapText="1"/>
    </xf>
    <xf numFmtId="0" fontId="1" fillId="2" borderId="19" xfId="19" applyFill="1" applyBorder="1">
      <alignment wrapText="1"/>
    </xf>
    <xf numFmtId="0" fontId="1" fillId="0" borderId="2" xfId="19" applyBorder="1">
      <alignment wrapText="1"/>
    </xf>
    <xf numFmtId="0" fontId="1" fillId="0" borderId="3" xfId="19" applyBorder="1">
      <alignment wrapText="1"/>
    </xf>
    <xf numFmtId="0" fontId="1" fillId="0" borderId="6" xfId="19" applyBorder="1">
      <alignment wrapText="1"/>
    </xf>
    <xf numFmtId="0" fontId="1" fillId="2" borderId="0" xfId="19" applyFill="1">
      <alignment wrapText="1"/>
    </xf>
    <xf numFmtId="0" fontId="1" fillId="0" borderId="4" xfId="19" applyBorder="1">
      <alignment wrapText="1"/>
    </xf>
    <xf numFmtId="0" fontId="5" fillId="0" borderId="0" xfId="19" applyFont="1">
      <alignment wrapText="1"/>
    </xf>
    <xf numFmtId="0" fontId="1" fillId="0" borderId="8" xfId="19" applyBorder="1">
      <alignment wrapText="1"/>
    </xf>
    <xf numFmtId="0" fontId="23" fillId="2" borderId="0" xfId="6" applyFont="1" applyFill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26" fillId="0" borderId="4" xfId="5" applyFont="1" applyBorder="1" applyAlignment="1">
      <alignment vertical="center" wrapText="1"/>
    </xf>
    <xf numFmtId="0" fontId="13" fillId="2" borderId="14" xfId="6" applyFont="1" applyFill="1" applyBorder="1" applyAlignment="1">
      <alignment vertical="center" wrapText="1"/>
    </xf>
    <xf numFmtId="165" fontId="11" fillId="15" borderId="0" xfId="7" applyNumberFormat="1" applyFill="1" applyBorder="1">
      <alignment horizontal="left" vertical="center" indent="1"/>
    </xf>
    <xf numFmtId="0" fontId="9" fillId="2" borderId="13" xfId="5" applyFont="1" applyFill="1" applyBorder="1" applyAlignment="1">
      <alignment vertical="center"/>
    </xf>
    <xf numFmtId="0" fontId="9" fillId="0" borderId="13" xfId="5" applyFont="1" applyBorder="1" applyAlignment="1">
      <alignment vertical="center" wrapText="1"/>
    </xf>
    <xf numFmtId="0" fontId="5" fillId="0" borderId="1" xfId="0" applyFont="1" applyBorder="1">
      <alignment wrapText="1"/>
    </xf>
    <xf numFmtId="165" fontId="11" fillId="0" borderId="1" xfId="7" applyNumberFormat="1" applyFill="1" applyBorder="1">
      <alignment horizontal="left" vertical="center" indent="1"/>
    </xf>
    <xf numFmtId="165" fontId="13" fillId="0" borderId="8" xfId="6" applyNumberFormat="1" applyFont="1" applyFill="1" applyBorder="1" applyAlignment="1" applyProtection="1">
      <alignment horizontal="left" vertical="center" indent="1"/>
    </xf>
    <xf numFmtId="0" fontId="23" fillId="0" borderId="38" xfId="5" applyFont="1" applyBorder="1" applyAlignment="1">
      <alignment horizontal="center" vertical="center"/>
    </xf>
    <xf numFmtId="0" fontId="10" fillId="0" borderId="0" xfId="15" applyFont="1" applyFill="1" applyBorder="1">
      <alignment horizontal="left" vertical="top" indent="1"/>
    </xf>
    <xf numFmtId="0" fontId="13" fillId="0" borderId="7" xfId="0" applyFont="1" applyBorder="1" applyAlignment="1">
      <alignment horizontal="left" vertical="center" wrapText="1"/>
    </xf>
    <xf numFmtId="0" fontId="23" fillId="0" borderId="0" xfId="5" applyFont="1" applyBorder="1" applyAlignment="1">
      <alignment horizontal="left" vertical="center" wrapText="1"/>
    </xf>
    <xf numFmtId="165" fontId="11" fillId="16" borderId="0" xfId="7" applyNumberFormat="1" applyFill="1" applyBorder="1">
      <alignment horizontal="left" vertical="center" indent="1"/>
    </xf>
    <xf numFmtId="0" fontId="10" fillId="2" borderId="14" xfId="0" applyFont="1" applyFill="1" applyBorder="1" applyAlignment="1">
      <alignment vertical="center" wrapText="1"/>
    </xf>
    <xf numFmtId="0" fontId="13" fillId="0" borderId="38" xfId="5" applyFont="1" applyBorder="1" applyAlignment="1">
      <alignment vertical="center" wrapText="1"/>
    </xf>
    <xf numFmtId="0" fontId="13" fillId="0" borderId="36" xfId="5" applyFont="1" applyBorder="1" applyAlignment="1">
      <alignment horizontal="left" vertical="center" wrapText="1"/>
    </xf>
    <xf numFmtId="0" fontId="13" fillId="0" borderId="14" xfId="0" quotePrefix="1" applyFont="1" applyBorder="1" applyAlignment="1">
      <alignment vertical="center" wrapText="1"/>
    </xf>
    <xf numFmtId="20" fontId="9" fillId="0" borderId="0" xfId="12" applyFont="1" applyFill="1" applyBorder="1">
      <alignment horizontal="left" indent="1"/>
    </xf>
    <xf numFmtId="0" fontId="10" fillId="0" borderId="0" xfId="15" applyFont="1" applyFill="1" applyBorder="1">
      <alignment horizontal="left" vertical="top" indent="1"/>
    </xf>
    <xf numFmtId="0" fontId="4" fillId="0" borderId="0" xfId="1" applyFont="1" applyBorder="1" applyAlignment="1" applyProtection="1">
      <alignment horizontal="left" vertical="top"/>
    </xf>
    <xf numFmtId="0" fontId="12" fillId="0" borderId="0" xfId="4" applyFont="1" applyBorder="1" applyAlignment="1" applyProtection="1">
      <alignment horizontal="center" vertical="center"/>
    </xf>
    <xf numFmtId="0" fontId="23" fillId="0" borderId="0" xfId="5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23" fillId="0" borderId="36" xfId="5" applyFont="1" applyBorder="1" applyAlignment="1">
      <alignment horizontal="left" vertical="center" wrapText="1"/>
    </xf>
    <xf numFmtId="0" fontId="23" fillId="0" borderId="37" xfId="5" applyFont="1" applyBorder="1" applyAlignment="1">
      <alignment horizontal="left" vertical="center" wrapText="1"/>
    </xf>
    <xf numFmtId="0" fontId="13" fillId="0" borderId="36" xfId="5" applyFont="1" applyBorder="1" applyAlignment="1">
      <alignment horizontal="left" vertical="center"/>
    </xf>
    <xf numFmtId="0" fontId="13" fillId="0" borderId="37" xfId="5" applyFont="1" applyBorder="1" applyAlignment="1">
      <alignment horizontal="left" vertical="center"/>
    </xf>
    <xf numFmtId="0" fontId="10" fillId="0" borderId="3" xfId="15" applyFont="1" applyFill="1" applyBorder="1">
      <alignment horizontal="left" vertical="top" indent="1"/>
    </xf>
    <xf numFmtId="20" fontId="9" fillId="0" borderId="1" xfId="12" applyFont="1" applyFill="1" applyBorder="1">
      <alignment horizontal="left" indent="1"/>
    </xf>
    <xf numFmtId="0" fontId="23" fillId="0" borderId="38" xfId="5" applyFont="1" applyBorder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13" fillId="0" borderId="38" xfId="5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40" fillId="0" borderId="49" xfId="0" quotePrefix="1" applyFont="1" applyBorder="1" applyAlignment="1">
      <alignment horizontal="left" vertical="center" wrapText="1"/>
    </xf>
    <xf numFmtId="0" fontId="40" fillId="0" borderId="50" xfId="0" applyFont="1" applyBorder="1" applyAlignment="1">
      <alignment horizontal="left" vertical="center" wrapText="1"/>
    </xf>
    <xf numFmtId="0" fontId="30" fillId="0" borderId="0" xfId="4" applyFont="1" applyBorder="1" applyAlignment="1" applyProtection="1">
      <alignment horizontal="center" vertical="center"/>
    </xf>
    <xf numFmtId="0" fontId="23" fillId="0" borderId="38" xfId="5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 wrapText="1"/>
    </xf>
    <xf numFmtId="0" fontId="23" fillId="2" borderId="14" xfId="6" applyFont="1" applyFill="1" applyBorder="1" applyAlignment="1">
      <alignment horizontal="left" vertical="center" wrapText="1"/>
    </xf>
    <xf numFmtId="0" fontId="13" fillId="0" borderId="26" xfId="0" quotePrefix="1" applyFont="1" applyBorder="1" applyAlignment="1">
      <alignment horizontal="left" vertical="center" wrapText="1"/>
    </xf>
  </cellXfs>
  <cellStyles count="20">
    <cellStyle name="Bad" xfId="17" builtinId="27"/>
    <cellStyle name="Bottom Border" xfId="6" xr:uid="{00000000-0005-0000-0000-000031000000}"/>
    <cellStyle name="Calendar alignment" xfId="7" xr:uid="{00000000-0005-0000-0000-000032000000}"/>
    <cellStyle name="Date" xfId="8" xr:uid="{00000000-0005-0000-0000-000033000000}"/>
    <cellStyle name="Good" xfId="16" builtinId="26"/>
    <cellStyle name="Heading 1" xfId="2" builtinId="16"/>
    <cellStyle name="Heading 2" xfId="3" builtinId="17"/>
    <cellStyle name="Heading 3" xfId="4" builtinId="18"/>
    <cellStyle name="Heading 4" xfId="5" builtinId="19"/>
    <cellStyle name="Label" xfId="9" xr:uid="{00000000-0005-0000-0000-000034000000}"/>
    <cellStyle name="Neutral" xfId="18" builtinId="28"/>
    <cellStyle name="Normal" xfId="0" builtinId="0"/>
    <cellStyle name="Normal 2" xfId="19" xr:uid="{CDFE96EA-D3C3-41DB-B624-88F6BA2D20FB}"/>
    <cellStyle name="Right Border" xfId="10" xr:uid="{00000000-0005-0000-0000-000035000000}"/>
    <cellStyle name="Table heading blank" xfId="11" xr:uid="{00000000-0005-0000-0000-000036000000}"/>
    <cellStyle name="Time" xfId="12" xr:uid="{00000000-0005-0000-0000-000037000000}"/>
    <cellStyle name="Title" xfId="1" builtinId="15"/>
    <cellStyle name="Top Border" xfId="13" xr:uid="{00000000-0005-0000-0000-000038000000}"/>
    <cellStyle name="Weekdays" xfId="14" xr:uid="{00000000-0005-0000-0000-000039000000}"/>
    <cellStyle name="Weekly Schedule Fill" xfId="15" xr:uid="{00000000-0005-0000-0000-00003A000000}"/>
  </cellStyles>
  <dxfs count="314"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5117038483843"/>
        </patternFill>
      </fill>
      <border>
        <left/>
        <right/>
        <top/>
        <bottom/>
      </border>
    </dxf>
    <dxf>
      <fill>
        <patternFill patternType="solid">
          <bgColor theme="8" tint="0.79995117038483843"/>
        </patternFill>
      </fill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3" tint="0.59996337778862885"/>
        </patternFill>
      </fill>
      <border>
        <left/>
        <right/>
        <top/>
        <bottom/>
      </border>
    </dxf>
    <dxf>
      <font>
        <color theme="0" tint="-0.24994659260841701"/>
      </font>
    </dxf>
    <dxf>
      <fill>
        <patternFill patternType="solid">
          <bgColor theme="8" tint="0.79995117038483843"/>
        </patternFill>
      </fill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5117038483843"/>
        </patternFill>
      </fill>
      <border>
        <left/>
        <right/>
        <top/>
        <bottom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59996337778862885"/>
        </patternFill>
      </fill>
      <border>
        <left/>
        <right/>
        <top/>
        <bottom/>
      </border>
    </dxf>
    <dxf>
      <font>
        <color theme="0" tint="-0.24994659260841701"/>
      </font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5117038483843"/>
        </patternFill>
      </fill>
      <border>
        <left/>
        <right/>
        <top/>
        <bottom/>
      </border>
    </dxf>
    <dxf>
      <fill>
        <patternFill patternType="solid">
          <bgColor theme="8" tint="0.79995117038483843"/>
        </patternFill>
      </fill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6" tint="0.39991454817346722"/>
        </patternFill>
      </fill>
      <border>
        <left/>
        <right/>
        <top/>
        <bottom/>
      </border>
    </dxf>
    <dxf>
      <font>
        <color theme="0" tint="-0.24994659260841701"/>
      </font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5117038483843"/>
        </patternFill>
      </fill>
      <border>
        <left/>
        <right/>
        <top/>
        <bottom/>
      </border>
    </dxf>
    <dxf>
      <fill>
        <patternFill patternType="solid">
          <bgColor theme="8" tint="0.79995117038483843"/>
        </patternFill>
      </fill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7" tint="0.39991454817346722"/>
        </patternFill>
      </fill>
      <border>
        <left/>
        <right/>
        <top/>
        <bottom/>
      </border>
    </dxf>
    <dxf>
      <fill>
        <patternFill patternType="solid">
          <bgColor theme="8" tint="0.79995117038483843"/>
        </patternFill>
      </fill>
    </dxf>
    <dxf>
      <font>
        <color theme="0" tint="-0.24994659260841701"/>
      </font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5117038483843"/>
        </patternFill>
      </fill>
      <border>
        <left/>
        <right/>
        <top/>
        <bottom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8" tint="0.39991454817346722"/>
        </patternFill>
      </fill>
      <border>
        <left/>
        <right/>
        <top/>
        <bottom/>
      </border>
    </dxf>
    <dxf>
      <font>
        <color theme="0" tint="-0.24994659260841701"/>
      </font>
    </dxf>
    <dxf>
      <fill>
        <patternFill patternType="solid">
          <bgColor theme="8" tint="0.79995117038483843"/>
        </patternFill>
      </fill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5117038483843"/>
        </patternFill>
      </fill>
      <border>
        <left/>
        <right/>
        <top/>
        <bottom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5" tint="-9.9917600024414813E-2"/>
        </patternFill>
      </fill>
      <border>
        <left/>
        <right/>
        <top/>
        <bottom/>
      </border>
    </dxf>
    <dxf>
      <font>
        <color theme="0" tint="-0.24994659260841701"/>
      </font>
    </dxf>
    <dxf>
      <fill>
        <patternFill patternType="solid">
          <bgColor theme="8" tint="0.79995117038483843"/>
        </patternFill>
      </fill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5117038483843"/>
        </patternFill>
      </fill>
      <border>
        <left/>
        <right/>
        <top/>
        <bottom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9" tint="0.59996337778862885"/>
        </patternFill>
      </fill>
      <border>
        <left/>
        <right/>
        <top/>
        <bottom/>
      </border>
    </dxf>
    <dxf>
      <fill>
        <patternFill patternType="solid">
          <bgColor theme="8" tint="0.79995117038483843"/>
        </patternFill>
      </fill>
    </dxf>
    <dxf>
      <font>
        <color theme="0" tint="-0.24994659260841701"/>
      </font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5117038483843"/>
        </patternFill>
      </fill>
      <border>
        <left/>
        <right/>
        <top/>
        <bottom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3" tint="0.59996337778862885"/>
        </patternFill>
      </fill>
      <border>
        <left/>
        <right/>
        <top/>
        <bottom/>
      </border>
    </dxf>
    <dxf>
      <font>
        <color theme="0" tint="-0.24994659260841701"/>
      </font>
    </dxf>
    <dxf>
      <fill>
        <patternFill patternType="solid">
          <bgColor theme="8" tint="0.79995117038483843"/>
        </patternFill>
      </fill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5117038483843"/>
        </patternFill>
      </fill>
      <border>
        <left/>
        <right/>
        <top/>
        <bottom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59996337778862885"/>
        </patternFill>
      </fill>
      <border>
        <left/>
        <right/>
        <top/>
        <bottom/>
      </border>
    </dxf>
    <dxf>
      <font>
        <color theme="0" tint="-0.24994659260841701"/>
      </font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5117038483843"/>
        </patternFill>
      </fill>
      <border>
        <left/>
        <right/>
        <top/>
        <bottom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6" tint="0.39991454817346722"/>
        </patternFill>
      </fill>
      <border>
        <left/>
        <right/>
        <top/>
        <bottom/>
      </border>
    </dxf>
    <dxf>
      <font>
        <color theme="0" tint="-0.24994659260841701"/>
      </font>
    </dxf>
    <dxf>
      <fill>
        <patternFill patternType="solid">
          <bgColor theme="8" tint="0.79995117038483843"/>
        </patternFill>
      </fill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5117038483843"/>
        </patternFill>
      </fill>
      <border>
        <left/>
        <right/>
        <top/>
        <bottom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7" tint="0.39991454817346722"/>
        </patternFill>
      </fill>
      <border>
        <left/>
        <right/>
        <top/>
        <bottom/>
      </border>
    </dxf>
    <dxf>
      <font>
        <color theme="0" tint="-0.24994659260841701"/>
      </font>
    </dxf>
    <dxf>
      <fill>
        <patternFill patternType="solid">
          <bgColor theme="8" tint="0.79995117038483843"/>
        </patternFill>
      </fill>
    </dxf>
    <dxf>
      <font>
        <color theme="0"/>
      </font>
      <fill>
        <patternFill>
          <bgColor theme="4"/>
        </patternFill>
      </fill>
      <border>
        <vertical/>
        <horizontal/>
      </border>
    </dxf>
    <dxf>
      <font>
        <color theme="0"/>
      </font>
      <fill>
        <patternFill>
          <bgColor theme="6"/>
        </patternFill>
      </fill>
      <border>
        <vertical/>
        <horizontal/>
      </border>
    </dxf>
    <dxf>
      <font>
        <color theme="0"/>
      </font>
      <fill>
        <patternFill>
          <bgColor theme="8"/>
        </patternFill>
      </fill>
      <border>
        <vertical/>
        <horizontal/>
      </border>
    </dxf>
    <dxf>
      <font>
        <color theme="0"/>
      </font>
      <fill>
        <patternFill>
          <bgColor theme="3"/>
        </patternFill>
      </fill>
      <border>
        <vertical/>
        <horizontal/>
      </border>
    </dxf>
    <dxf>
      <font>
        <color theme="0"/>
      </font>
      <fill>
        <patternFill>
          <bgColor theme="6" tint="-0.499984740745262"/>
        </patternFill>
      </fill>
      <border>
        <vertical/>
        <horizontal/>
      </border>
    </dxf>
    <dxf>
      <font>
        <color theme="0"/>
      </font>
      <fill>
        <patternFill>
          <bgColor rgb="FFCC0000"/>
        </patternFill>
      </fill>
      <border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vertical/>
        <horizontal/>
      </border>
    </dxf>
    <dxf>
      <font>
        <color theme="0"/>
      </font>
      <fill>
        <patternFill>
          <bgColor theme="2" tint="-0.499984740745262"/>
        </patternFill>
      </fill>
      <border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8" tint="0.39991454817346722"/>
        </patternFill>
      </fill>
      <border>
        <left/>
        <right/>
        <top/>
        <bottom/>
      </border>
    </dxf>
    <dxf>
      <fill>
        <patternFill patternType="solid">
          <bgColor theme="8" tint="0.79995117038483843"/>
        </patternFill>
      </fill>
    </dxf>
    <dxf>
      <font>
        <color theme="0" tint="-0.24994659260841701"/>
      </font>
    </dxf>
    <dxf>
      <fill>
        <patternFill patternType="solid">
          <bgColor theme="8" tint="0.79995117038483843"/>
        </patternFill>
      </fill>
    </dxf>
    <dxf>
      <font>
        <b/>
        <i val="0"/>
        <color theme="4" tint="-0.499984740745262"/>
      </font>
      <border>
        <left style="thin">
          <color theme="4" tint="-0.499984740745262"/>
        </left>
        <right/>
        <top/>
        <bottom style="thin">
          <color theme="4" tint="-0.499984740745262"/>
        </bottom>
        <vertical/>
        <horizontal/>
      </border>
    </dxf>
    <dxf>
      <font>
        <b/>
        <i val="0"/>
        <color theme="4" tint="-0.499984740745262"/>
      </font>
      <border>
        <left/>
        <right/>
        <top/>
        <bottom style="thin">
          <color theme="4" tint="-0.499984740745262"/>
        </bottom>
        <vertical/>
        <horizontal/>
      </border>
    </dxf>
    <dxf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horizontal style="thin">
          <color theme="5" tint="-0.499984740745262"/>
        </horizontal>
      </border>
    </dxf>
  </dxfs>
  <tableStyles count="1" defaultTableStyle="Assignments" defaultPivotStyle="PivotStyleLight16">
    <tableStyle name="Assignments" pivot="0" count="3" xr9:uid="{F3846220-5D42-0416-F283-C169035CECF8}">
      <tableStyleElement type="wholeTable" dxfId="313"/>
      <tableStyleElement type="headerRow" dxfId="312"/>
      <tableStyleElement type="firstColumn" dxfId="311"/>
    </tableStyle>
  </tableStyles>
  <colors>
    <mruColors>
      <color rgb="FFCC0000"/>
      <color rgb="FFCFEDF5"/>
      <color rgb="FFAEE1EE"/>
      <color rgb="FF930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i.memishahi\Desktop\Kalendari%20pe&#776;r%20Tryezat%20e%20Konsultimti%20dhe%20Ke&#776;shillimit%20te&#776;%20PPIE%20Planifikimi.xlsx" TargetMode="External"/><Relationship Id="rId1" Type="http://schemas.openxmlformats.org/officeDocument/2006/relationships/externalLinkPath" Target="file:///C:\Users\eni.memishahi\Desktop\Kalendari%20pe&#776;r%20Tryezat%20e%20Konsultimti%20dhe%20Ke&#776;shillimit%20te&#776;%20PPIE%20Planifikim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i.memishahi\Desktop\Databaza%20e%20an&#235;tar&#235;sis&#235;%20PPIE\Kalendari%20pe&#776;r%20Tryezat%20e%20Konsultimti%20dhe%20Ke&#776;shillimit%20te&#776;%20PPIE_23032026.xlsx" TargetMode="External"/><Relationship Id="rId1" Type="http://schemas.openxmlformats.org/officeDocument/2006/relationships/externalLinkPath" Target="file:///C:\Users\eni.memishahi\Desktop\Databaza%20e%20an&#235;tar&#235;sis&#235;%20PPIE\Kalendari%20pe&#776;r%20Tryezat%20e%20Konsultimti%20dhe%20Ke&#776;shillimit%20te&#776;%20PPIE_2303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all"/>
      <sheetName val="Tabela"/>
      <sheetName val="Jan"/>
      <sheetName val="Feb"/>
      <sheetName val="Mar"/>
      <sheetName val="Apr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>
        <row r="5">
          <cell r="D5">
            <v>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all"/>
      <sheetName val="Tabela"/>
      <sheetName val="Jan"/>
      <sheetName val="Feb"/>
      <sheetName val="Mar"/>
      <sheetName val="Apr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>
        <row r="5">
          <cell r="D5">
            <v>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kretariati i Integrimit Evropian" refreshedDate="46135.511698148148" createdVersion="8" refreshedVersion="8" minRefreshableVersion="3" recordCount="22" xr:uid="{6B892FBC-7F7F-406E-8CD7-9DE58294513B}">
  <cacheSource type="worksheet">
    <worksheetSource ref="A1:A23" sheet="Sheet3"/>
  </cacheSource>
  <cacheFields count="1">
    <cacheField name="Typology" numFmtId="0">
      <sharedItems count="9">
        <s v="Information &amp; Awareness"/>
        <s v="European agenda"/>
        <s v="Potential Cooperation Opportunities"/>
        <s v="Progress Reporting"/>
        <s v="Closing Benchmark"/>
        <s v="Capacity Building"/>
        <s v="Interim Benchmark"/>
        <s v="Other"/>
        <s v="Typology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</r>
  <r>
    <x v="0"/>
  </r>
  <r>
    <x v="1"/>
  </r>
  <r>
    <x v="1"/>
  </r>
  <r>
    <x v="2"/>
  </r>
  <r>
    <x v="3"/>
  </r>
  <r>
    <x v="4"/>
  </r>
  <r>
    <x v="5"/>
  </r>
  <r>
    <x v="1"/>
  </r>
  <r>
    <x v="1"/>
  </r>
  <r>
    <x v="1"/>
  </r>
  <r>
    <x v="6"/>
  </r>
  <r>
    <x v="7"/>
  </r>
  <r>
    <x v="0"/>
  </r>
  <r>
    <x v="1"/>
  </r>
  <r>
    <x v="1"/>
  </r>
  <r>
    <x v="1"/>
  </r>
  <r>
    <x v="6"/>
  </r>
  <r>
    <x v="2"/>
  </r>
  <r>
    <x v="4"/>
  </r>
  <r>
    <x v="4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B17883-55E0-40EC-B2BA-8A21721BC00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:F10" firstHeaderRow="1" firstDataRow="1" firstDataCol="1"/>
  <pivotFields count="1">
    <pivotField axis="axisRow" dataField="1" showAll="0">
      <items count="10">
        <item x="5"/>
        <item x="4"/>
        <item x="1"/>
        <item x="0"/>
        <item x="6"/>
        <item x="7"/>
        <item x="2"/>
        <item x="3"/>
        <item m="1" x="8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Typology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10_college_cal">
  <a:themeElements>
    <a:clrScheme name="Custom 25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BD55D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opLeftCell="B125" zoomScale="90" zoomScaleNormal="90" workbookViewId="0">
      <selection activeCell="R150" sqref="R150"/>
    </sheetView>
  </sheetViews>
  <sheetFormatPr defaultColWidth="9" defaultRowHeight="16.5"/>
  <cols>
    <col min="1" max="1" width="33.25" style="125" customWidth="1"/>
    <col min="2" max="2" width="30.75" style="125" customWidth="1"/>
    <col min="3" max="3" width="9" style="125"/>
    <col min="4" max="4" width="18.375" style="125" bestFit="1" customWidth="1"/>
    <col min="5" max="5" width="12.125" style="125" customWidth="1"/>
    <col min="6" max="6" width="9" style="125"/>
    <col min="7" max="7" width="29.5" style="125" bestFit="1" customWidth="1"/>
    <col min="8" max="8" width="17.75" style="125" customWidth="1"/>
    <col min="9" max="9" width="9" style="125"/>
    <col min="10" max="10" width="11.375" style="125" customWidth="1"/>
    <col min="11" max="11" width="10.25" style="125" customWidth="1"/>
    <col min="12" max="12" width="10.625" style="125" customWidth="1"/>
    <col min="13" max="13" width="19" style="125" customWidth="1"/>
    <col min="14" max="16" width="9" style="125"/>
    <col min="17" max="17" width="17.25" style="125" bestFit="1" customWidth="1"/>
    <col min="18" max="18" width="9" style="125"/>
    <col min="19" max="19" width="14.625" style="125" customWidth="1"/>
    <col min="20" max="20" width="9" style="125"/>
    <col min="21" max="21" width="25.75" style="125" customWidth="1"/>
    <col min="22" max="26" width="9" style="125"/>
    <col min="27" max="27" width="27.25" style="125" customWidth="1"/>
    <col min="28" max="16384" width="9" style="125"/>
  </cols>
  <sheetData>
    <row r="1" spans="1:19">
      <c r="A1" s="123">
        <v>46023</v>
      </c>
    </row>
    <row r="2" spans="1:19">
      <c r="B2" s="124" t="s">
        <v>44</v>
      </c>
      <c r="E2" s="124" t="s">
        <v>45</v>
      </c>
      <c r="O2" s="124" t="s">
        <v>46</v>
      </c>
      <c r="S2" s="124" t="s">
        <v>47</v>
      </c>
    </row>
    <row r="3" spans="1:19" ht="49.5">
      <c r="A3" s="126" t="s">
        <v>25</v>
      </c>
      <c r="B3" s="127" t="s">
        <v>48</v>
      </c>
      <c r="D3" s="128" t="s">
        <v>4</v>
      </c>
      <c r="E3" s="129" t="s">
        <v>2</v>
      </c>
      <c r="G3" s="130" t="s">
        <v>35</v>
      </c>
      <c r="H3" s="131" t="s">
        <v>29</v>
      </c>
      <c r="I3" s="131" t="s">
        <v>26</v>
      </c>
      <c r="J3" s="131" t="s">
        <v>31</v>
      </c>
      <c r="K3" s="131" t="s">
        <v>27</v>
      </c>
      <c r="L3" s="131" t="s">
        <v>30</v>
      </c>
      <c r="M3" s="131" t="s">
        <v>37</v>
      </c>
      <c r="N3" s="131" t="s">
        <v>39</v>
      </c>
      <c r="O3" s="132" t="s">
        <v>38</v>
      </c>
      <c r="Q3" s="133" t="s">
        <v>3</v>
      </c>
      <c r="R3" s="133" t="s">
        <v>15</v>
      </c>
      <c r="S3" s="133" t="s">
        <v>36</v>
      </c>
    </row>
    <row r="4" spans="1:19">
      <c r="A4" s="134" t="s">
        <v>29</v>
      </c>
      <c r="B4" s="135">
        <v>0</v>
      </c>
      <c r="D4" s="134" t="s">
        <v>32</v>
      </c>
      <c r="E4" s="135">
        <v>0</v>
      </c>
      <c r="G4" s="134" t="s">
        <v>32</v>
      </c>
      <c r="H4" s="136">
        <v>0</v>
      </c>
      <c r="I4" s="136">
        <v>0</v>
      </c>
      <c r="J4" s="136">
        <v>0</v>
      </c>
      <c r="K4" s="136">
        <v>0</v>
      </c>
      <c r="L4" s="136">
        <v>0</v>
      </c>
      <c r="M4" s="136">
        <v>0</v>
      </c>
      <c r="N4" s="136">
        <v>0</v>
      </c>
      <c r="O4" s="135">
        <v>0</v>
      </c>
      <c r="Q4" s="134" t="s">
        <v>0</v>
      </c>
      <c r="R4" s="136">
        <v>1</v>
      </c>
      <c r="S4" s="135">
        <v>0</v>
      </c>
    </row>
    <row r="5" spans="1:19">
      <c r="A5" s="134" t="s">
        <v>26</v>
      </c>
      <c r="B5" s="135">
        <v>0</v>
      </c>
      <c r="D5" s="134" t="s">
        <v>33</v>
      </c>
      <c r="E5" s="135">
        <v>0</v>
      </c>
      <c r="G5" s="134" t="s">
        <v>33</v>
      </c>
      <c r="H5" s="136">
        <v>0</v>
      </c>
      <c r="I5" s="136">
        <v>0</v>
      </c>
      <c r="J5" s="136">
        <v>0</v>
      </c>
      <c r="K5" s="136">
        <v>0</v>
      </c>
      <c r="L5" s="136">
        <v>0</v>
      </c>
      <c r="M5" s="136">
        <v>0</v>
      </c>
      <c r="N5" s="136">
        <v>0</v>
      </c>
      <c r="O5" s="135">
        <v>0</v>
      </c>
      <c r="Q5" s="137" t="s">
        <v>2</v>
      </c>
      <c r="R5" s="138">
        <v>1</v>
      </c>
      <c r="S5" s="139">
        <v>0</v>
      </c>
    </row>
    <row r="6" spans="1:19">
      <c r="A6" s="134" t="s">
        <v>31</v>
      </c>
      <c r="B6" s="135">
        <v>0</v>
      </c>
      <c r="D6" s="137" t="s">
        <v>34</v>
      </c>
      <c r="E6" s="139">
        <v>0</v>
      </c>
      <c r="G6" s="137" t="s">
        <v>34</v>
      </c>
      <c r="H6" s="138">
        <v>0</v>
      </c>
      <c r="I6" s="138">
        <v>0</v>
      </c>
      <c r="J6" s="138">
        <v>0</v>
      </c>
      <c r="K6" s="138">
        <v>0</v>
      </c>
      <c r="L6" s="138">
        <v>0</v>
      </c>
      <c r="M6" s="138">
        <v>0</v>
      </c>
      <c r="N6" s="138">
        <v>0</v>
      </c>
      <c r="O6" s="139">
        <v>0</v>
      </c>
    </row>
    <row r="7" spans="1:19">
      <c r="A7" s="134" t="s">
        <v>27</v>
      </c>
      <c r="B7" s="135">
        <v>0</v>
      </c>
    </row>
    <row r="8" spans="1:19">
      <c r="A8" s="134" t="s">
        <v>30</v>
      </c>
      <c r="B8" s="135">
        <v>0</v>
      </c>
    </row>
    <row r="9" spans="1:19">
      <c r="A9" s="134" t="s">
        <v>37</v>
      </c>
      <c r="B9" s="135">
        <v>0</v>
      </c>
    </row>
    <row r="10" spans="1:19">
      <c r="A10" s="134" t="s">
        <v>39</v>
      </c>
      <c r="B10" s="135">
        <v>0</v>
      </c>
    </row>
    <row r="11" spans="1:19">
      <c r="A11" s="137" t="s">
        <v>38</v>
      </c>
      <c r="B11" s="139">
        <v>0</v>
      </c>
    </row>
    <row r="14" spans="1:19">
      <c r="A14" s="123">
        <v>46054</v>
      </c>
    </row>
    <row r="15" spans="1:19">
      <c r="B15" s="124" t="s">
        <v>44</v>
      </c>
      <c r="E15" s="124" t="s">
        <v>45</v>
      </c>
      <c r="O15" s="124" t="s">
        <v>46</v>
      </c>
      <c r="S15" s="124" t="s">
        <v>47</v>
      </c>
    </row>
    <row r="16" spans="1:19" ht="49.5">
      <c r="A16" s="126" t="s">
        <v>25</v>
      </c>
      <c r="B16" s="127" t="s">
        <v>48</v>
      </c>
      <c r="D16" s="128" t="s">
        <v>4</v>
      </c>
      <c r="E16" s="129" t="s">
        <v>2</v>
      </c>
      <c r="G16" s="130" t="s">
        <v>35</v>
      </c>
      <c r="H16" s="131" t="s">
        <v>29</v>
      </c>
      <c r="I16" s="131" t="s">
        <v>26</v>
      </c>
      <c r="J16" s="131" t="s">
        <v>31</v>
      </c>
      <c r="K16" s="131" t="s">
        <v>27</v>
      </c>
      <c r="L16" s="131" t="s">
        <v>30</v>
      </c>
      <c r="M16" s="131" t="s">
        <v>37</v>
      </c>
      <c r="N16" s="131" t="s">
        <v>39</v>
      </c>
      <c r="O16" s="132" t="s">
        <v>38</v>
      </c>
      <c r="Q16" s="133" t="s">
        <v>3</v>
      </c>
      <c r="R16" s="133" t="s">
        <v>15</v>
      </c>
      <c r="S16" s="133" t="s">
        <v>36</v>
      </c>
    </row>
    <row r="17" spans="1:19">
      <c r="A17" s="134" t="s">
        <v>29</v>
      </c>
      <c r="B17" s="135">
        <v>0</v>
      </c>
      <c r="D17" s="134" t="s">
        <v>32</v>
      </c>
      <c r="E17" s="135">
        <v>1</v>
      </c>
      <c r="G17" s="134" t="s">
        <v>32</v>
      </c>
      <c r="H17" s="136">
        <v>0</v>
      </c>
      <c r="I17" s="136">
        <v>0</v>
      </c>
      <c r="J17" s="136">
        <v>0</v>
      </c>
      <c r="K17" s="136">
        <v>1</v>
      </c>
      <c r="L17" s="136">
        <v>0</v>
      </c>
      <c r="M17" s="136">
        <v>0</v>
      </c>
      <c r="N17" s="136">
        <v>0</v>
      </c>
      <c r="O17" s="135">
        <v>0</v>
      </c>
      <c r="Q17" s="134" t="s">
        <v>0</v>
      </c>
      <c r="R17" s="136">
        <v>1</v>
      </c>
      <c r="S17" s="135">
        <v>1</v>
      </c>
    </row>
    <row r="18" spans="1:19">
      <c r="A18" s="134" t="s">
        <v>26</v>
      </c>
      <c r="B18" s="135">
        <v>0</v>
      </c>
      <c r="D18" s="134" t="s">
        <v>33</v>
      </c>
      <c r="E18" s="135">
        <v>0</v>
      </c>
      <c r="G18" s="134" t="s">
        <v>33</v>
      </c>
      <c r="H18" s="136">
        <v>0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  <c r="O18" s="135">
        <v>0</v>
      </c>
      <c r="Q18" s="137" t="s">
        <v>2</v>
      </c>
      <c r="R18" s="138">
        <v>1</v>
      </c>
      <c r="S18" s="139">
        <v>1</v>
      </c>
    </row>
    <row r="19" spans="1:19">
      <c r="A19" s="134" t="s">
        <v>31</v>
      </c>
      <c r="B19" s="135">
        <v>0</v>
      </c>
      <c r="D19" s="137" t="s">
        <v>34</v>
      </c>
      <c r="E19" s="139">
        <v>0</v>
      </c>
      <c r="G19" s="137" t="s">
        <v>34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9">
        <v>0</v>
      </c>
    </row>
    <row r="20" spans="1:19">
      <c r="A20" s="134" t="s">
        <v>27</v>
      </c>
      <c r="B20" s="135">
        <v>1</v>
      </c>
    </row>
    <row r="21" spans="1:19">
      <c r="A21" s="134" t="s">
        <v>30</v>
      </c>
      <c r="B21" s="135">
        <v>0</v>
      </c>
    </row>
    <row r="22" spans="1:19">
      <c r="A22" s="134" t="s">
        <v>37</v>
      </c>
      <c r="B22" s="135">
        <v>0</v>
      </c>
    </row>
    <row r="23" spans="1:19">
      <c r="A23" s="134" t="s">
        <v>39</v>
      </c>
      <c r="B23" s="135">
        <v>0</v>
      </c>
    </row>
    <row r="24" spans="1:19">
      <c r="A24" s="137" t="s">
        <v>38</v>
      </c>
      <c r="B24" s="139">
        <v>0</v>
      </c>
    </row>
    <row r="27" spans="1:19">
      <c r="A27" s="123">
        <v>46082</v>
      </c>
    </row>
    <row r="28" spans="1:19">
      <c r="B28" s="124" t="s">
        <v>44</v>
      </c>
      <c r="E28" s="124" t="s">
        <v>45</v>
      </c>
      <c r="O28" s="124" t="s">
        <v>46</v>
      </c>
      <c r="S28" s="124" t="s">
        <v>47</v>
      </c>
    </row>
    <row r="29" spans="1:19" ht="49.5">
      <c r="A29" s="126" t="s">
        <v>25</v>
      </c>
      <c r="B29" s="127" t="s">
        <v>48</v>
      </c>
      <c r="D29" s="128" t="s">
        <v>4</v>
      </c>
      <c r="E29" s="129" t="s">
        <v>2</v>
      </c>
      <c r="G29" s="130" t="s">
        <v>35</v>
      </c>
      <c r="H29" s="131" t="s">
        <v>29</v>
      </c>
      <c r="I29" s="131" t="s">
        <v>26</v>
      </c>
      <c r="J29" s="131" t="s">
        <v>31</v>
      </c>
      <c r="K29" s="131" t="s">
        <v>27</v>
      </c>
      <c r="L29" s="131" t="s">
        <v>30</v>
      </c>
      <c r="M29" s="131" t="s">
        <v>37</v>
      </c>
      <c r="N29" s="131" t="s">
        <v>39</v>
      </c>
      <c r="O29" s="132" t="s">
        <v>38</v>
      </c>
      <c r="Q29" s="133" t="s">
        <v>3</v>
      </c>
      <c r="R29" s="133" t="s">
        <v>15</v>
      </c>
      <c r="S29" s="133" t="s">
        <v>36</v>
      </c>
    </row>
    <row r="30" spans="1:19">
      <c r="A30" s="134" t="s">
        <v>29</v>
      </c>
      <c r="B30" s="135">
        <v>0</v>
      </c>
      <c r="D30" s="134" t="s">
        <v>32</v>
      </c>
      <c r="E30" s="135">
        <v>0</v>
      </c>
      <c r="G30" s="134" t="s">
        <v>32</v>
      </c>
      <c r="H30" s="136">
        <v>0</v>
      </c>
      <c r="I30" s="136">
        <v>0</v>
      </c>
      <c r="J30" s="136">
        <v>0</v>
      </c>
      <c r="K30" s="136">
        <v>0</v>
      </c>
      <c r="L30" s="136">
        <v>0</v>
      </c>
      <c r="M30" s="136">
        <v>0</v>
      </c>
      <c r="N30" s="136">
        <v>0</v>
      </c>
      <c r="O30" s="135">
        <v>0</v>
      </c>
      <c r="Q30" s="134" t="s">
        <v>0</v>
      </c>
      <c r="R30" s="136">
        <v>1</v>
      </c>
      <c r="S30" s="135">
        <v>0</v>
      </c>
    </row>
    <row r="31" spans="1:19">
      <c r="A31" s="134" t="s">
        <v>26</v>
      </c>
      <c r="B31" s="135">
        <v>0</v>
      </c>
      <c r="D31" s="134" t="s">
        <v>33</v>
      </c>
      <c r="E31" s="135">
        <v>0</v>
      </c>
      <c r="G31" s="134" t="s">
        <v>33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  <c r="O31" s="135">
        <v>0</v>
      </c>
      <c r="Q31" s="137" t="s">
        <v>2</v>
      </c>
      <c r="R31" s="138">
        <v>1</v>
      </c>
      <c r="S31" s="139">
        <v>0</v>
      </c>
    </row>
    <row r="32" spans="1:19">
      <c r="A32" s="134" t="s">
        <v>31</v>
      </c>
      <c r="B32" s="135">
        <v>0</v>
      </c>
      <c r="D32" s="137" t="s">
        <v>34</v>
      </c>
      <c r="E32" s="139">
        <v>0</v>
      </c>
      <c r="G32" s="137" t="s">
        <v>34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9">
        <v>0</v>
      </c>
    </row>
    <row r="33" spans="1:19">
      <c r="A33" s="134" t="s">
        <v>27</v>
      </c>
      <c r="B33" s="135">
        <v>0</v>
      </c>
    </row>
    <row r="34" spans="1:19">
      <c r="A34" s="134" t="s">
        <v>30</v>
      </c>
      <c r="B34" s="135">
        <v>0</v>
      </c>
    </row>
    <row r="35" spans="1:19">
      <c r="A35" s="134" t="s">
        <v>37</v>
      </c>
      <c r="B35" s="135">
        <v>0</v>
      </c>
    </row>
    <row r="36" spans="1:19">
      <c r="A36" s="134" t="s">
        <v>39</v>
      </c>
      <c r="B36" s="135">
        <v>0</v>
      </c>
    </row>
    <row r="37" spans="1:19">
      <c r="A37" s="137" t="s">
        <v>38</v>
      </c>
      <c r="B37" s="139">
        <v>0</v>
      </c>
    </row>
    <row r="41" spans="1:19">
      <c r="A41" s="123">
        <v>46113</v>
      </c>
    </row>
    <row r="42" spans="1:19">
      <c r="B42" s="124" t="s">
        <v>44</v>
      </c>
      <c r="E42" s="124" t="s">
        <v>45</v>
      </c>
      <c r="O42" s="124" t="s">
        <v>46</v>
      </c>
      <c r="S42" s="124" t="s">
        <v>47</v>
      </c>
    </row>
    <row r="43" spans="1:19" ht="49.5">
      <c r="A43" s="126" t="s">
        <v>25</v>
      </c>
      <c r="B43" s="127" t="s">
        <v>48</v>
      </c>
      <c r="D43" s="128" t="s">
        <v>4</v>
      </c>
      <c r="E43" s="129" t="s">
        <v>2</v>
      </c>
      <c r="G43" s="130" t="s">
        <v>35</v>
      </c>
      <c r="H43" s="131" t="s">
        <v>29</v>
      </c>
      <c r="I43" s="131" t="s">
        <v>26</v>
      </c>
      <c r="J43" s="131" t="s">
        <v>31</v>
      </c>
      <c r="K43" s="131" t="s">
        <v>27</v>
      </c>
      <c r="L43" s="131" t="s">
        <v>30</v>
      </c>
      <c r="M43" s="131" t="s">
        <v>37</v>
      </c>
      <c r="N43" s="131" t="s">
        <v>39</v>
      </c>
      <c r="O43" s="132" t="s">
        <v>38</v>
      </c>
      <c r="Q43" s="133" t="s">
        <v>3</v>
      </c>
      <c r="R43" s="133" t="s">
        <v>15</v>
      </c>
      <c r="S43" s="133" t="s">
        <v>36</v>
      </c>
    </row>
    <row r="44" spans="1:19">
      <c r="A44" s="134" t="s">
        <v>29</v>
      </c>
      <c r="B44" s="135">
        <v>0</v>
      </c>
      <c r="D44" s="134" t="s">
        <v>32</v>
      </c>
      <c r="E44" s="135">
        <v>0</v>
      </c>
      <c r="G44" s="134" t="s">
        <v>32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5">
        <v>0</v>
      </c>
      <c r="Q44" s="134" t="s">
        <v>0</v>
      </c>
      <c r="R44" s="136">
        <v>1</v>
      </c>
      <c r="S44" s="135">
        <v>0</v>
      </c>
    </row>
    <row r="45" spans="1:19">
      <c r="A45" s="134" t="s">
        <v>26</v>
      </c>
      <c r="B45" s="135">
        <v>0</v>
      </c>
      <c r="D45" s="134" t="s">
        <v>33</v>
      </c>
      <c r="E45" s="135">
        <v>0</v>
      </c>
      <c r="G45" s="134" t="s">
        <v>33</v>
      </c>
      <c r="H45" s="136">
        <v>0</v>
      </c>
      <c r="I45" s="136">
        <v>0</v>
      </c>
      <c r="J45" s="136">
        <v>0</v>
      </c>
      <c r="K45" s="136">
        <v>0</v>
      </c>
      <c r="L45" s="136">
        <v>0</v>
      </c>
      <c r="M45" s="136">
        <v>0</v>
      </c>
      <c r="N45" s="136">
        <v>0</v>
      </c>
      <c r="O45" s="135">
        <v>0</v>
      </c>
      <c r="Q45" s="137" t="s">
        <v>2</v>
      </c>
      <c r="R45" s="138">
        <v>1</v>
      </c>
      <c r="S45" s="139">
        <v>0</v>
      </c>
    </row>
    <row r="46" spans="1:19">
      <c r="A46" s="134" t="s">
        <v>31</v>
      </c>
      <c r="B46" s="135">
        <v>0</v>
      </c>
      <c r="D46" s="137" t="s">
        <v>34</v>
      </c>
      <c r="E46" s="139">
        <v>0</v>
      </c>
      <c r="G46" s="137" t="s">
        <v>34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9">
        <v>0</v>
      </c>
    </row>
    <row r="47" spans="1:19">
      <c r="A47" s="134" t="s">
        <v>27</v>
      </c>
      <c r="B47" s="135">
        <v>0</v>
      </c>
    </row>
    <row r="48" spans="1:19">
      <c r="A48" s="134" t="s">
        <v>30</v>
      </c>
      <c r="B48" s="135">
        <v>0</v>
      </c>
    </row>
    <row r="49" spans="1:19">
      <c r="A49" s="134" t="s">
        <v>37</v>
      </c>
      <c r="B49" s="135">
        <v>0</v>
      </c>
    </row>
    <row r="50" spans="1:19">
      <c r="A50" s="134" t="s">
        <v>39</v>
      </c>
      <c r="B50" s="135">
        <v>0</v>
      </c>
    </row>
    <row r="51" spans="1:19">
      <c r="A51" s="137" t="s">
        <v>38</v>
      </c>
      <c r="B51" s="139">
        <v>0</v>
      </c>
    </row>
    <row r="54" spans="1:19">
      <c r="A54" s="123">
        <v>46143</v>
      </c>
    </row>
    <row r="55" spans="1:19">
      <c r="B55" s="124" t="s">
        <v>44</v>
      </c>
      <c r="E55" s="124" t="s">
        <v>45</v>
      </c>
      <c r="O55" s="124" t="s">
        <v>46</v>
      </c>
      <c r="S55" s="124" t="s">
        <v>47</v>
      </c>
    </row>
    <row r="56" spans="1:19" ht="49.5">
      <c r="A56" s="126" t="s">
        <v>25</v>
      </c>
      <c r="B56" s="127" t="s">
        <v>48</v>
      </c>
      <c r="D56" s="128" t="s">
        <v>4</v>
      </c>
      <c r="E56" s="129" t="s">
        <v>2</v>
      </c>
      <c r="G56" s="130" t="s">
        <v>35</v>
      </c>
      <c r="H56" s="131" t="s">
        <v>29</v>
      </c>
      <c r="I56" s="131" t="s">
        <v>26</v>
      </c>
      <c r="J56" s="131" t="s">
        <v>31</v>
      </c>
      <c r="K56" s="131" t="s">
        <v>27</v>
      </c>
      <c r="L56" s="131" t="s">
        <v>30</v>
      </c>
      <c r="M56" s="131" t="s">
        <v>37</v>
      </c>
      <c r="N56" s="131" t="s">
        <v>39</v>
      </c>
      <c r="O56" s="132" t="s">
        <v>38</v>
      </c>
      <c r="Q56" s="133" t="s">
        <v>3</v>
      </c>
      <c r="R56" s="133" t="s">
        <v>15</v>
      </c>
      <c r="S56" s="133" t="s">
        <v>36</v>
      </c>
    </row>
    <row r="57" spans="1:19">
      <c r="A57" s="134" t="s">
        <v>29</v>
      </c>
      <c r="B57" s="135">
        <v>0</v>
      </c>
      <c r="D57" s="134" t="s">
        <v>32</v>
      </c>
      <c r="E57" s="135">
        <v>2</v>
      </c>
      <c r="G57" s="134" t="s">
        <v>32</v>
      </c>
      <c r="H57" s="136">
        <v>0</v>
      </c>
      <c r="I57" s="136">
        <v>1</v>
      </c>
      <c r="J57" s="136">
        <v>1</v>
      </c>
      <c r="K57" s="136">
        <v>0</v>
      </c>
      <c r="L57" s="136">
        <v>0</v>
      </c>
      <c r="M57" s="136">
        <v>0</v>
      </c>
      <c r="N57" s="136">
        <v>0</v>
      </c>
      <c r="O57" s="135">
        <v>0</v>
      </c>
      <c r="Q57" s="134" t="s">
        <v>0</v>
      </c>
      <c r="R57" s="125">
        <v>1</v>
      </c>
      <c r="S57" s="135">
        <v>0</v>
      </c>
    </row>
    <row r="58" spans="1:19">
      <c r="A58" s="134" t="s">
        <v>26</v>
      </c>
      <c r="B58" s="135">
        <v>1</v>
      </c>
      <c r="D58" s="134" t="s">
        <v>33</v>
      </c>
      <c r="E58" s="135">
        <v>0</v>
      </c>
      <c r="G58" s="134" t="s">
        <v>33</v>
      </c>
      <c r="H58" s="136">
        <v>0</v>
      </c>
      <c r="I58" s="136">
        <v>0</v>
      </c>
      <c r="J58" s="136">
        <v>0</v>
      </c>
      <c r="K58" s="136">
        <v>0</v>
      </c>
      <c r="L58" s="136">
        <v>0</v>
      </c>
      <c r="M58" s="136">
        <v>0</v>
      </c>
      <c r="N58" s="136">
        <v>0</v>
      </c>
      <c r="O58" s="135">
        <v>0</v>
      </c>
      <c r="Q58" s="137" t="s">
        <v>2</v>
      </c>
      <c r="R58" s="138">
        <v>2</v>
      </c>
      <c r="S58" s="139">
        <v>0</v>
      </c>
    </row>
    <row r="59" spans="1:19">
      <c r="A59" s="134" t="s">
        <v>31</v>
      </c>
      <c r="B59" s="135">
        <v>1</v>
      </c>
      <c r="D59" s="137" t="s">
        <v>34</v>
      </c>
      <c r="E59" s="139">
        <v>0</v>
      </c>
      <c r="G59" s="137" t="s">
        <v>34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9">
        <v>0</v>
      </c>
    </row>
    <row r="60" spans="1:19">
      <c r="A60" s="134" t="s">
        <v>27</v>
      </c>
      <c r="B60" s="135">
        <v>0</v>
      </c>
    </row>
    <row r="61" spans="1:19">
      <c r="A61" s="134" t="s">
        <v>30</v>
      </c>
      <c r="B61" s="135">
        <v>0</v>
      </c>
    </row>
    <row r="62" spans="1:19">
      <c r="A62" s="134" t="s">
        <v>37</v>
      </c>
      <c r="B62" s="135">
        <v>0</v>
      </c>
    </row>
    <row r="63" spans="1:19">
      <c r="A63" s="134" t="s">
        <v>39</v>
      </c>
      <c r="B63" s="135">
        <v>0</v>
      </c>
    </row>
    <row r="64" spans="1:19">
      <c r="A64" s="137" t="s">
        <v>38</v>
      </c>
      <c r="B64" s="139">
        <v>0</v>
      </c>
    </row>
    <row r="67" spans="1:19">
      <c r="A67" s="123">
        <v>46174</v>
      </c>
    </row>
    <row r="68" spans="1:19">
      <c r="B68" s="124" t="s">
        <v>44</v>
      </c>
      <c r="E68" s="124" t="s">
        <v>45</v>
      </c>
      <c r="O68" s="124" t="s">
        <v>46</v>
      </c>
      <c r="S68" s="124" t="s">
        <v>47</v>
      </c>
    </row>
    <row r="69" spans="1:19" ht="49.5">
      <c r="A69" s="126" t="s">
        <v>25</v>
      </c>
      <c r="B69" s="127" t="s">
        <v>48</v>
      </c>
      <c r="D69" s="128" t="s">
        <v>4</v>
      </c>
      <c r="E69" s="129" t="s">
        <v>2</v>
      </c>
      <c r="G69" s="130" t="s">
        <v>35</v>
      </c>
      <c r="H69" s="131" t="s">
        <v>29</v>
      </c>
      <c r="I69" s="131" t="s">
        <v>26</v>
      </c>
      <c r="J69" s="131" t="s">
        <v>31</v>
      </c>
      <c r="K69" s="131" t="s">
        <v>27</v>
      </c>
      <c r="L69" s="131" t="s">
        <v>30</v>
      </c>
      <c r="M69" s="131" t="s">
        <v>37</v>
      </c>
      <c r="N69" s="131" t="s">
        <v>39</v>
      </c>
      <c r="O69" s="132" t="s">
        <v>38</v>
      </c>
      <c r="Q69" s="133" t="s">
        <v>3</v>
      </c>
      <c r="R69" s="133" t="s">
        <v>15</v>
      </c>
      <c r="S69" s="133" t="s">
        <v>36</v>
      </c>
    </row>
    <row r="70" spans="1:19">
      <c r="A70" s="134" t="s">
        <v>29</v>
      </c>
      <c r="B70" s="135">
        <v>0</v>
      </c>
      <c r="D70" s="134" t="s">
        <v>32</v>
      </c>
      <c r="E70" s="135">
        <v>1</v>
      </c>
      <c r="G70" s="134" t="s">
        <v>32</v>
      </c>
      <c r="H70" s="136">
        <v>0</v>
      </c>
      <c r="I70" s="136">
        <v>1</v>
      </c>
      <c r="J70" s="136">
        <v>0</v>
      </c>
      <c r="K70" s="136">
        <v>0</v>
      </c>
      <c r="L70" s="136">
        <v>0</v>
      </c>
      <c r="M70" s="136">
        <v>0</v>
      </c>
      <c r="N70" s="136">
        <v>0</v>
      </c>
      <c r="O70" s="135">
        <v>0</v>
      </c>
      <c r="Q70" s="134" t="s">
        <v>0</v>
      </c>
      <c r="R70" s="136">
        <v>1</v>
      </c>
      <c r="S70" s="135">
        <v>0</v>
      </c>
    </row>
    <row r="71" spans="1:19">
      <c r="A71" s="134" t="s">
        <v>26</v>
      </c>
      <c r="B71" s="135">
        <v>1</v>
      </c>
      <c r="D71" s="134" t="s">
        <v>33</v>
      </c>
      <c r="E71" s="135">
        <v>0</v>
      </c>
      <c r="G71" s="134" t="s">
        <v>33</v>
      </c>
      <c r="H71" s="136">
        <v>0</v>
      </c>
      <c r="I71" s="136">
        <v>0</v>
      </c>
      <c r="J71" s="136">
        <v>0</v>
      </c>
      <c r="K71" s="136">
        <v>0</v>
      </c>
      <c r="L71" s="136">
        <v>0</v>
      </c>
      <c r="M71" s="136">
        <v>0</v>
      </c>
      <c r="N71" s="136">
        <v>0</v>
      </c>
      <c r="O71" s="135">
        <v>0</v>
      </c>
      <c r="Q71" s="137" t="s">
        <v>2</v>
      </c>
      <c r="R71" s="138">
        <v>1</v>
      </c>
      <c r="S71" s="139">
        <v>0</v>
      </c>
    </row>
    <row r="72" spans="1:19">
      <c r="A72" s="134" t="s">
        <v>31</v>
      </c>
      <c r="B72" s="135">
        <v>0</v>
      </c>
      <c r="D72" s="137" t="s">
        <v>34</v>
      </c>
      <c r="E72" s="139">
        <v>0</v>
      </c>
      <c r="G72" s="137" t="s">
        <v>34</v>
      </c>
      <c r="H72" s="138">
        <v>0</v>
      </c>
      <c r="I72" s="138">
        <v>0</v>
      </c>
      <c r="J72" s="138">
        <v>0</v>
      </c>
      <c r="K72" s="138">
        <v>0</v>
      </c>
      <c r="L72" s="138">
        <v>0</v>
      </c>
      <c r="M72" s="138">
        <v>0</v>
      </c>
      <c r="N72" s="138">
        <v>0</v>
      </c>
      <c r="O72" s="139">
        <v>0</v>
      </c>
    </row>
    <row r="73" spans="1:19">
      <c r="A73" s="134" t="s">
        <v>27</v>
      </c>
      <c r="B73" s="135">
        <v>0</v>
      </c>
    </row>
    <row r="74" spans="1:19">
      <c r="A74" s="134" t="s">
        <v>30</v>
      </c>
      <c r="B74" s="135">
        <v>0</v>
      </c>
    </row>
    <row r="75" spans="1:19">
      <c r="A75" s="134" t="s">
        <v>37</v>
      </c>
      <c r="B75" s="135">
        <v>0</v>
      </c>
    </row>
    <row r="76" spans="1:19">
      <c r="A76" s="134" t="s">
        <v>39</v>
      </c>
      <c r="B76" s="135">
        <v>0</v>
      </c>
    </row>
    <row r="77" spans="1:19">
      <c r="A77" s="137" t="s">
        <v>38</v>
      </c>
      <c r="B77" s="139">
        <v>0</v>
      </c>
    </row>
    <row r="80" spans="1:19">
      <c r="A80" s="123">
        <v>46204</v>
      </c>
    </row>
    <row r="81" spans="1:19">
      <c r="B81" s="124" t="s">
        <v>44</v>
      </c>
      <c r="E81" s="124" t="s">
        <v>45</v>
      </c>
      <c r="O81" s="124" t="s">
        <v>46</v>
      </c>
      <c r="S81" s="124" t="s">
        <v>47</v>
      </c>
    </row>
    <row r="82" spans="1:19" ht="49.5">
      <c r="A82" s="126" t="s">
        <v>25</v>
      </c>
      <c r="B82" s="127" t="s">
        <v>48</v>
      </c>
      <c r="D82" s="128" t="s">
        <v>4</v>
      </c>
      <c r="E82" s="129" t="s">
        <v>2</v>
      </c>
      <c r="G82" s="130" t="s">
        <v>35</v>
      </c>
      <c r="H82" s="131" t="s">
        <v>29</v>
      </c>
      <c r="I82" s="131" t="s">
        <v>26</v>
      </c>
      <c r="J82" s="131" t="s">
        <v>31</v>
      </c>
      <c r="K82" s="131" t="s">
        <v>27</v>
      </c>
      <c r="L82" s="131" t="s">
        <v>30</v>
      </c>
      <c r="M82" s="131" t="s">
        <v>37</v>
      </c>
      <c r="N82" s="131" t="s">
        <v>39</v>
      </c>
      <c r="O82" s="132" t="s">
        <v>38</v>
      </c>
      <c r="Q82" s="133" t="s">
        <v>3</v>
      </c>
      <c r="R82" s="133" t="s">
        <v>15</v>
      </c>
      <c r="S82" s="133" t="s">
        <v>36</v>
      </c>
    </row>
    <row r="83" spans="1:19">
      <c r="A83" s="134" t="s">
        <v>29</v>
      </c>
      <c r="B83" s="135">
        <v>0</v>
      </c>
      <c r="D83" s="134" t="s">
        <v>32</v>
      </c>
      <c r="E83" s="135">
        <v>1</v>
      </c>
      <c r="G83" s="134" t="s">
        <v>32</v>
      </c>
      <c r="H83" s="136">
        <v>0</v>
      </c>
      <c r="I83" s="136">
        <v>1</v>
      </c>
      <c r="J83" s="136">
        <v>0</v>
      </c>
      <c r="K83" s="136">
        <v>0</v>
      </c>
      <c r="L83" s="136">
        <v>0</v>
      </c>
      <c r="M83" s="136">
        <v>0</v>
      </c>
      <c r="N83" s="136">
        <v>0</v>
      </c>
      <c r="O83" s="135">
        <v>0</v>
      </c>
      <c r="Q83" s="134" t="s">
        <v>0</v>
      </c>
      <c r="R83" s="136">
        <v>1</v>
      </c>
      <c r="S83" s="135">
        <v>0</v>
      </c>
    </row>
    <row r="84" spans="1:19">
      <c r="A84" s="134" t="s">
        <v>26</v>
      </c>
      <c r="B84" s="135">
        <v>1</v>
      </c>
      <c r="D84" s="134" t="s">
        <v>33</v>
      </c>
      <c r="E84" s="135">
        <v>0</v>
      </c>
      <c r="G84" s="134" t="s">
        <v>33</v>
      </c>
      <c r="H84" s="136">
        <v>0</v>
      </c>
      <c r="I84" s="136">
        <v>0</v>
      </c>
      <c r="J84" s="136">
        <v>0</v>
      </c>
      <c r="K84" s="136">
        <v>0</v>
      </c>
      <c r="L84" s="136">
        <v>0</v>
      </c>
      <c r="M84" s="136">
        <v>0</v>
      </c>
      <c r="N84" s="136">
        <v>0</v>
      </c>
      <c r="O84" s="135">
        <v>0</v>
      </c>
      <c r="Q84" s="137" t="s">
        <v>2</v>
      </c>
      <c r="R84" s="138">
        <v>1</v>
      </c>
      <c r="S84" s="139">
        <v>0</v>
      </c>
    </row>
    <row r="85" spans="1:19">
      <c r="A85" s="134" t="s">
        <v>31</v>
      </c>
      <c r="B85" s="135">
        <v>0</v>
      </c>
      <c r="D85" s="137" t="s">
        <v>34</v>
      </c>
      <c r="E85" s="139">
        <v>0</v>
      </c>
      <c r="G85" s="137" t="s">
        <v>34</v>
      </c>
      <c r="H85" s="138">
        <v>0</v>
      </c>
      <c r="I85" s="138">
        <v>0</v>
      </c>
      <c r="J85" s="138">
        <v>0</v>
      </c>
      <c r="K85" s="138">
        <v>0</v>
      </c>
      <c r="L85" s="138">
        <v>0</v>
      </c>
      <c r="M85" s="138">
        <v>0</v>
      </c>
      <c r="N85" s="138">
        <v>0</v>
      </c>
      <c r="O85" s="139">
        <v>0</v>
      </c>
    </row>
    <row r="86" spans="1:19">
      <c r="A86" s="134" t="s">
        <v>27</v>
      </c>
      <c r="B86" s="135">
        <v>0</v>
      </c>
    </row>
    <row r="87" spans="1:19">
      <c r="A87" s="134" t="s">
        <v>30</v>
      </c>
      <c r="B87" s="135">
        <v>0</v>
      </c>
    </row>
    <row r="88" spans="1:19">
      <c r="A88" s="134" t="s">
        <v>37</v>
      </c>
      <c r="B88" s="135">
        <v>0</v>
      </c>
    </row>
    <row r="89" spans="1:19">
      <c r="A89" s="134" t="s">
        <v>39</v>
      </c>
      <c r="B89" s="135">
        <v>0</v>
      </c>
    </row>
    <row r="90" spans="1:19">
      <c r="A90" s="137" t="s">
        <v>38</v>
      </c>
      <c r="B90" s="139">
        <v>0</v>
      </c>
    </row>
    <row r="93" spans="1:19">
      <c r="A93" s="123">
        <v>46235</v>
      </c>
    </row>
    <row r="94" spans="1:19">
      <c r="B94" s="124" t="s">
        <v>44</v>
      </c>
      <c r="E94" s="124" t="s">
        <v>45</v>
      </c>
      <c r="O94" s="124" t="s">
        <v>46</v>
      </c>
      <c r="S94" s="124" t="s">
        <v>47</v>
      </c>
    </row>
    <row r="95" spans="1:19" ht="49.5">
      <c r="A95" s="126" t="s">
        <v>25</v>
      </c>
      <c r="B95" s="127" t="s">
        <v>48</v>
      </c>
      <c r="D95" s="128" t="s">
        <v>4</v>
      </c>
      <c r="E95" s="129" t="s">
        <v>2</v>
      </c>
      <c r="G95" s="130" t="s">
        <v>35</v>
      </c>
      <c r="H95" s="131" t="s">
        <v>29</v>
      </c>
      <c r="I95" s="131" t="s">
        <v>26</v>
      </c>
      <c r="J95" s="131" t="s">
        <v>31</v>
      </c>
      <c r="K95" s="131" t="s">
        <v>27</v>
      </c>
      <c r="L95" s="131" t="s">
        <v>30</v>
      </c>
      <c r="M95" s="131" t="s">
        <v>37</v>
      </c>
      <c r="N95" s="131" t="s">
        <v>39</v>
      </c>
      <c r="O95" s="132" t="s">
        <v>38</v>
      </c>
      <c r="Q95" s="133" t="s">
        <v>3</v>
      </c>
      <c r="R95" s="133" t="s">
        <v>15</v>
      </c>
      <c r="S95" s="133" t="s">
        <v>36</v>
      </c>
    </row>
    <row r="96" spans="1:19">
      <c r="A96" s="134" t="s">
        <v>29</v>
      </c>
      <c r="B96" s="135">
        <v>0</v>
      </c>
      <c r="D96" s="134" t="s">
        <v>32</v>
      </c>
      <c r="E96" s="135">
        <v>0</v>
      </c>
      <c r="G96" s="134" t="s">
        <v>32</v>
      </c>
      <c r="H96" s="136">
        <v>0</v>
      </c>
      <c r="I96" s="136">
        <v>0</v>
      </c>
      <c r="J96" s="136">
        <v>0</v>
      </c>
      <c r="K96" s="136">
        <v>0</v>
      </c>
      <c r="L96" s="136">
        <v>0</v>
      </c>
      <c r="M96" s="136">
        <v>0</v>
      </c>
      <c r="N96" s="136">
        <v>0</v>
      </c>
      <c r="O96" s="135">
        <v>0</v>
      </c>
      <c r="Q96" s="134" t="s">
        <v>0</v>
      </c>
      <c r="R96" s="136">
        <v>0</v>
      </c>
      <c r="S96" s="135">
        <v>0</v>
      </c>
    </row>
    <row r="97" spans="1:19">
      <c r="A97" s="134" t="s">
        <v>26</v>
      </c>
      <c r="B97" s="135">
        <v>0</v>
      </c>
      <c r="D97" s="134" t="s">
        <v>33</v>
      </c>
      <c r="E97" s="135">
        <v>0</v>
      </c>
      <c r="G97" s="134" t="s">
        <v>33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5">
        <v>0</v>
      </c>
      <c r="Q97" s="137" t="s">
        <v>2</v>
      </c>
      <c r="R97" s="138">
        <v>0</v>
      </c>
      <c r="S97" s="139">
        <v>0</v>
      </c>
    </row>
    <row r="98" spans="1:19">
      <c r="A98" s="134" t="s">
        <v>31</v>
      </c>
      <c r="B98" s="135">
        <v>0</v>
      </c>
      <c r="D98" s="137" t="s">
        <v>34</v>
      </c>
      <c r="E98" s="139">
        <v>0</v>
      </c>
      <c r="G98" s="137" t="s">
        <v>34</v>
      </c>
      <c r="H98" s="138">
        <v>0</v>
      </c>
      <c r="I98" s="138">
        <v>0</v>
      </c>
      <c r="J98" s="138">
        <v>0</v>
      </c>
      <c r="K98" s="138">
        <v>0</v>
      </c>
      <c r="L98" s="138">
        <v>0</v>
      </c>
      <c r="M98" s="138">
        <v>0</v>
      </c>
      <c r="N98" s="138">
        <v>0</v>
      </c>
      <c r="O98" s="139">
        <v>0</v>
      </c>
    </row>
    <row r="99" spans="1:19">
      <c r="A99" s="134" t="s">
        <v>27</v>
      </c>
      <c r="B99" s="135">
        <v>0</v>
      </c>
    </row>
    <row r="100" spans="1:19">
      <c r="A100" s="134" t="s">
        <v>30</v>
      </c>
      <c r="B100" s="135">
        <v>0</v>
      </c>
    </row>
    <row r="101" spans="1:19">
      <c r="A101" s="134" t="s">
        <v>37</v>
      </c>
      <c r="B101" s="135">
        <v>0</v>
      </c>
    </row>
    <row r="102" spans="1:19">
      <c r="A102" s="134" t="s">
        <v>39</v>
      </c>
      <c r="B102" s="135">
        <v>0</v>
      </c>
    </row>
    <row r="103" spans="1:19">
      <c r="A103" s="137" t="s">
        <v>38</v>
      </c>
      <c r="B103" s="139">
        <v>0</v>
      </c>
    </row>
    <row r="106" spans="1:19">
      <c r="A106" s="123">
        <v>46266</v>
      </c>
    </row>
    <row r="107" spans="1:19">
      <c r="B107" s="124" t="s">
        <v>44</v>
      </c>
      <c r="E107" s="124" t="s">
        <v>45</v>
      </c>
      <c r="O107" s="124" t="s">
        <v>46</v>
      </c>
      <c r="S107" s="124" t="s">
        <v>47</v>
      </c>
    </row>
    <row r="108" spans="1:19" ht="49.5">
      <c r="A108" s="126" t="s">
        <v>25</v>
      </c>
      <c r="B108" s="127" t="s">
        <v>48</v>
      </c>
      <c r="D108" s="128" t="s">
        <v>4</v>
      </c>
      <c r="E108" s="129" t="s">
        <v>2</v>
      </c>
      <c r="G108" s="130" t="s">
        <v>35</v>
      </c>
      <c r="H108" s="131" t="s">
        <v>29</v>
      </c>
      <c r="I108" s="131" t="s">
        <v>26</v>
      </c>
      <c r="J108" s="131" t="s">
        <v>31</v>
      </c>
      <c r="K108" s="131" t="s">
        <v>27</v>
      </c>
      <c r="L108" s="131" t="s">
        <v>30</v>
      </c>
      <c r="M108" s="131" t="s">
        <v>37</v>
      </c>
      <c r="N108" s="131" t="s">
        <v>39</v>
      </c>
      <c r="O108" s="132" t="s">
        <v>38</v>
      </c>
      <c r="Q108" s="133" t="s">
        <v>3</v>
      </c>
      <c r="R108" s="133" t="s">
        <v>15</v>
      </c>
      <c r="S108" s="133" t="s">
        <v>36</v>
      </c>
    </row>
    <row r="109" spans="1:19">
      <c r="A109" s="134" t="s">
        <v>29</v>
      </c>
      <c r="B109" s="135">
        <v>0</v>
      </c>
      <c r="D109" s="134" t="s">
        <v>32</v>
      </c>
      <c r="E109" s="135">
        <v>2</v>
      </c>
      <c r="G109" s="134" t="s">
        <v>32</v>
      </c>
      <c r="H109" s="136">
        <v>0</v>
      </c>
      <c r="I109" s="136">
        <v>2</v>
      </c>
      <c r="J109" s="136">
        <v>0</v>
      </c>
      <c r="K109" s="136">
        <v>0</v>
      </c>
      <c r="L109" s="136">
        <v>0</v>
      </c>
      <c r="M109" s="136">
        <v>0</v>
      </c>
      <c r="N109" s="136">
        <v>0</v>
      </c>
      <c r="O109" s="135">
        <v>0</v>
      </c>
      <c r="Q109" s="134" t="s">
        <v>0</v>
      </c>
      <c r="R109" s="136">
        <v>2</v>
      </c>
      <c r="S109" s="135">
        <v>0</v>
      </c>
    </row>
    <row r="110" spans="1:19">
      <c r="A110" s="134" t="s">
        <v>26</v>
      </c>
      <c r="B110" s="135">
        <v>3</v>
      </c>
      <c r="D110" s="134" t="s">
        <v>33</v>
      </c>
      <c r="E110" s="135">
        <v>1</v>
      </c>
      <c r="G110" s="134" t="s">
        <v>33</v>
      </c>
      <c r="H110" s="136">
        <v>0</v>
      </c>
      <c r="I110" s="136">
        <v>1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5">
        <v>0</v>
      </c>
      <c r="Q110" s="137" t="s">
        <v>2</v>
      </c>
      <c r="R110" s="138">
        <v>3</v>
      </c>
      <c r="S110" s="139">
        <v>0</v>
      </c>
    </row>
    <row r="111" spans="1:19">
      <c r="A111" s="134" t="s">
        <v>31</v>
      </c>
      <c r="B111" s="135">
        <v>0</v>
      </c>
      <c r="D111" s="137" t="s">
        <v>34</v>
      </c>
      <c r="E111" s="139">
        <v>0</v>
      </c>
      <c r="G111" s="137" t="s">
        <v>34</v>
      </c>
      <c r="H111" s="138">
        <v>0</v>
      </c>
      <c r="I111" s="138">
        <v>0</v>
      </c>
      <c r="J111" s="138">
        <v>0</v>
      </c>
      <c r="K111" s="138">
        <v>0</v>
      </c>
      <c r="L111" s="138">
        <v>0</v>
      </c>
      <c r="M111" s="138">
        <v>0</v>
      </c>
      <c r="N111" s="138">
        <v>0</v>
      </c>
      <c r="O111" s="139">
        <v>0</v>
      </c>
    </row>
    <row r="112" spans="1:19">
      <c r="A112" s="134" t="s">
        <v>27</v>
      </c>
      <c r="B112" s="135">
        <v>0</v>
      </c>
    </row>
    <row r="113" spans="1:19">
      <c r="A113" s="134" t="s">
        <v>30</v>
      </c>
      <c r="B113" s="135">
        <v>0</v>
      </c>
    </row>
    <row r="114" spans="1:19">
      <c r="A114" s="134" t="s">
        <v>37</v>
      </c>
      <c r="B114" s="135">
        <v>0</v>
      </c>
    </row>
    <row r="115" spans="1:19">
      <c r="A115" s="134" t="s">
        <v>39</v>
      </c>
      <c r="B115" s="135">
        <v>0</v>
      </c>
    </row>
    <row r="116" spans="1:19">
      <c r="A116" s="137" t="s">
        <v>38</v>
      </c>
      <c r="B116" s="139">
        <v>0</v>
      </c>
    </row>
    <row r="119" spans="1:19">
      <c r="A119" s="123">
        <v>46296</v>
      </c>
    </row>
    <row r="120" spans="1:19">
      <c r="B120" s="124" t="s">
        <v>44</v>
      </c>
      <c r="E120" s="124" t="s">
        <v>45</v>
      </c>
      <c r="O120" s="124" t="s">
        <v>46</v>
      </c>
      <c r="S120" s="124" t="s">
        <v>47</v>
      </c>
    </row>
    <row r="121" spans="1:19" ht="49.5">
      <c r="A121" s="126" t="s">
        <v>25</v>
      </c>
      <c r="B121" s="127" t="s">
        <v>48</v>
      </c>
      <c r="D121" s="128" t="s">
        <v>4</v>
      </c>
      <c r="E121" s="129" t="s">
        <v>2</v>
      </c>
      <c r="G121" s="130" t="s">
        <v>35</v>
      </c>
      <c r="H121" s="131" t="s">
        <v>29</v>
      </c>
      <c r="I121" s="131" t="s">
        <v>26</v>
      </c>
      <c r="J121" s="131" t="s">
        <v>31</v>
      </c>
      <c r="K121" s="131" t="s">
        <v>27</v>
      </c>
      <c r="L121" s="131" t="s">
        <v>30</v>
      </c>
      <c r="M121" s="131" t="s">
        <v>37</v>
      </c>
      <c r="N121" s="131" t="s">
        <v>39</v>
      </c>
      <c r="O121" s="132" t="s">
        <v>38</v>
      </c>
      <c r="Q121" s="133" t="s">
        <v>3</v>
      </c>
      <c r="R121" s="133" t="s">
        <v>15</v>
      </c>
      <c r="S121" s="133" t="s">
        <v>36</v>
      </c>
    </row>
    <row r="122" spans="1:19">
      <c r="A122" s="134" t="s">
        <v>29</v>
      </c>
      <c r="B122" s="135">
        <v>0</v>
      </c>
      <c r="D122" s="134" t="s">
        <v>32</v>
      </c>
      <c r="E122" s="135">
        <v>3</v>
      </c>
      <c r="G122" s="134" t="s">
        <v>32</v>
      </c>
      <c r="H122" s="136">
        <v>0</v>
      </c>
      <c r="I122" s="136">
        <v>2</v>
      </c>
      <c r="J122" s="136">
        <v>1</v>
      </c>
      <c r="K122" s="136">
        <v>0</v>
      </c>
      <c r="L122" s="136">
        <v>0</v>
      </c>
      <c r="M122" s="136">
        <v>0</v>
      </c>
      <c r="N122" s="136">
        <v>0</v>
      </c>
      <c r="O122" s="135">
        <v>0</v>
      </c>
      <c r="Q122" s="134" t="s">
        <v>0</v>
      </c>
      <c r="R122" s="136">
        <v>2</v>
      </c>
      <c r="S122" s="135">
        <v>0</v>
      </c>
    </row>
    <row r="123" spans="1:19">
      <c r="A123" s="134" t="s">
        <v>26</v>
      </c>
      <c r="B123" s="135">
        <v>3</v>
      </c>
      <c r="D123" s="134" t="s">
        <v>33</v>
      </c>
      <c r="E123" s="135">
        <v>1</v>
      </c>
      <c r="G123" s="134" t="s">
        <v>33</v>
      </c>
      <c r="H123" s="136">
        <v>0</v>
      </c>
      <c r="I123" s="136">
        <v>1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5">
        <v>0</v>
      </c>
      <c r="Q123" s="137" t="s">
        <v>2</v>
      </c>
      <c r="R123" s="138">
        <v>4</v>
      </c>
      <c r="S123" s="139">
        <v>0</v>
      </c>
    </row>
    <row r="124" spans="1:19">
      <c r="A124" s="134" t="s">
        <v>31</v>
      </c>
      <c r="B124" s="135">
        <v>1</v>
      </c>
      <c r="D124" s="137" t="s">
        <v>34</v>
      </c>
      <c r="E124" s="139">
        <v>0</v>
      </c>
      <c r="G124" s="137" t="s">
        <v>34</v>
      </c>
      <c r="H124" s="138">
        <v>0</v>
      </c>
      <c r="I124" s="138">
        <v>0</v>
      </c>
      <c r="J124" s="138">
        <v>0</v>
      </c>
      <c r="K124" s="138">
        <v>0</v>
      </c>
      <c r="L124" s="138">
        <v>0</v>
      </c>
      <c r="M124" s="138">
        <v>0</v>
      </c>
      <c r="N124" s="138">
        <v>0</v>
      </c>
      <c r="O124" s="139">
        <v>0</v>
      </c>
    </row>
    <row r="125" spans="1:19">
      <c r="A125" s="134" t="s">
        <v>27</v>
      </c>
      <c r="B125" s="135">
        <v>0</v>
      </c>
    </row>
    <row r="126" spans="1:19">
      <c r="A126" s="134" t="s">
        <v>30</v>
      </c>
      <c r="B126" s="135">
        <v>0</v>
      </c>
    </row>
    <row r="127" spans="1:19">
      <c r="A127" s="134" t="s">
        <v>37</v>
      </c>
      <c r="B127" s="135">
        <v>0</v>
      </c>
    </row>
    <row r="128" spans="1:19">
      <c r="A128" s="134" t="s">
        <v>39</v>
      </c>
      <c r="B128" s="135">
        <v>0</v>
      </c>
    </row>
    <row r="129" spans="1:19">
      <c r="A129" s="137" t="s">
        <v>38</v>
      </c>
      <c r="B129" s="139">
        <v>0</v>
      </c>
    </row>
    <row r="132" spans="1:19">
      <c r="A132" s="123">
        <v>46327</v>
      </c>
    </row>
    <row r="133" spans="1:19">
      <c r="B133" s="124" t="s">
        <v>44</v>
      </c>
      <c r="E133" s="124" t="s">
        <v>45</v>
      </c>
      <c r="O133" s="124" t="s">
        <v>46</v>
      </c>
      <c r="S133" s="124" t="s">
        <v>47</v>
      </c>
    </row>
    <row r="134" spans="1:19" ht="49.5">
      <c r="A134" s="126" t="s">
        <v>25</v>
      </c>
      <c r="B134" s="127" t="s">
        <v>48</v>
      </c>
      <c r="D134" s="128" t="s">
        <v>4</v>
      </c>
      <c r="E134" s="129" t="s">
        <v>2</v>
      </c>
      <c r="G134" s="130" t="s">
        <v>35</v>
      </c>
      <c r="H134" s="131" t="s">
        <v>29</v>
      </c>
      <c r="I134" s="131" t="s">
        <v>26</v>
      </c>
      <c r="J134" s="131" t="s">
        <v>31</v>
      </c>
      <c r="K134" s="131" t="s">
        <v>27</v>
      </c>
      <c r="L134" s="131" t="s">
        <v>30</v>
      </c>
      <c r="M134" s="131" t="s">
        <v>37</v>
      </c>
      <c r="N134" s="131" t="s">
        <v>39</v>
      </c>
      <c r="O134" s="132" t="s">
        <v>38</v>
      </c>
      <c r="Q134" s="133" t="s">
        <v>3</v>
      </c>
      <c r="R134" s="133" t="s">
        <v>15</v>
      </c>
      <c r="S134" s="133" t="s">
        <v>36</v>
      </c>
    </row>
    <row r="135" spans="1:19">
      <c r="A135" s="134" t="s">
        <v>29</v>
      </c>
      <c r="B135" s="135">
        <v>0</v>
      </c>
      <c r="D135" s="134" t="s">
        <v>32</v>
      </c>
      <c r="E135" s="135">
        <v>2</v>
      </c>
      <c r="G135" s="134" t="s">
        <v>32</v>
      </c>
      <c r="H135" s="136">
        <v>0</v>
      </c>
      <c r="I135" s="136">
        <v>2</v>
      </c>
      <c r="J135" s="136">
        <v>0</v>
      </c>
      <c r="K135" s="136">
        <v>0</v>
      </c>
      <c r="L135" s="136">
        <v>0</v>
      </c>
      <c r="M135" s="136">
        <v>0</v>
      </c>
      <c r="N135" s="136">
        <v>0</v>
      </c>
      <c r="O135" s="135">
        <v>0</v>
      </c>
      <c r="Q135" s="134" t="s">
        <v>0</v>
      </c>
      <c r="R135" s="136">
        <v>1</v>
      </c>
      <c r="S135" s="135">
        <v>0</v>
      </c>
    </row>
    <row r="136" spans="1:19">
      <c r="A136" s="134" t="s">
        <v>26</v>
      </c>
      <c r="B136" s="135">
        <v>2</v>
      </c>
      <c r="D136" s="134" t="s">
        <v>33</v>
      </c>
      <c r="E136" s="135">
        <v>0</v>
      </c>
      <c r="G136" s="134" t="s">
        <v>33</v>
      </c>
      <c r="H136" s="136">
        <v>0</v>
      </c>
      <c r="I136" s="136">
        <v>0</v>
      </c>
      <c r="J136" s="136">
        <v>0</v>
      </c>
      <c r="K136" s="136">
        <v>0</v>
      </c>
      <c r="L136" s="136">
        <v>0</v>
      </c>
      <c r="M136" s="136">
        <v>0</v>
      </c>
      <c r="N136" s="136">
        <v>0</v>
      </c>
      <c r="O136" s="135">
        <v>0</v>
      </c>
      <c r="Q136" s="137" t="s">
        <v>2</v>
      </c>
      <c r="R136" s="138">
        <v>2</v>
      </c>
      <c r="S136" s="139">
        <v>0</v>
      </c>
    </row>
    <row r="137" spans="1:19">
      <c r="A137" s="134" t="s">
        <v>31</v>
      </c>
      <c r="B137" s="135">
        <v>0</v>
      </c>
      <c r="D137" s="137" t="s">
        <v>34</v>
      </c>
      <c r="E137" s="139">
        <v>0</v>
      </c>
      <c r="G137" s="137" t="s">
        <v>34</v>
      </c>
      <c r="H137" s="138">
        <v>0</v>
      </c>
      <c r="I137" s="138">
        <v>0</v>
      </c>
      <c r="J137" s="138">
        <v>0</v>
      </c>
      <c r="K137" s="138">
        <v>0</v>
      </c>
      <c r="L137" s="138">
        <v>0</v>
      </c>
      <c r="M137" s="138">
        <v>0</v>
      </c>
      <c r="N137" s="138">
        <v>0</v>
      </c>
      <c r="O137" s="139">
        <v>0</v>
      </c>
    </row>
    <row r="138" spans="1:19">
      <c r="A138" s="134" t="s">
        <v>27</v>
      </c>
      <c r="B138" s="135">
        <v>0</v>
      </c>
    </row>
    <row r="139" spans="1:19">
      <c r="A139" s="134" t="s">
        <v>30</v>
      </c>
      <c r="B139" s="135">
        <v>0</v>
      </c>
    </row>
    <row r="140" spans="1:19">
      <c r="A140" s="134" t="s">
        <v>37</v>
      </c>
      <c r="B140" s="135">
        <v>0</v>
      </c>
    </row>
    <row r="141" spans="1:19">
      <c r="A141" s="134" t="s">
        <v>39</v>
      </c>
      <c r="B141" s="135">
        <v>0</v>
      </c>
    </row>
    <row r="142" spans="1:19">
      <c r="A142" s="137" t="s">
        <v>38</v>
      </c>
      <c r="B142" s="139">
        <v>0</v>
      </c>
    </row>
    <row r="145" spans="1:19">
      <c r="A145" s="123">
        <v>46357</v>
      </c>
    </row>
    <row r="146" spans="1:19">
      <c r="B146" s="124" t="s">
        <v>44</v>
      </c>
      <c r="E146" s="124" t="s">
        <v>45</v>
      </c>
      <c r="O146" s="124" t="s">
        <v>46</v>
      </c>
      <c r="S146" s="124" t="s">
        <v>47</v>
      </c>
    </row>
    <row r="147" spans="1:19" ht="49.5">
      <c r="A147" s="126" t="s">
        <v>25</v>
      </c>
      <c r="B147" s="127" t="s">
        <v>48</v>
      </c>
      <c r="D147" s="128" t="s">
        <v>4</v>
      </c>
      <c r="E147" s="129" t="s">
        <v>2</v>
      </c>
      <c r="G147" s="130" t="s">
        <v>35</v>
      </c>
      <c r="H147" s="131" t="s">
        <v>29</v>
      </c>
      <c r="I147" s="131" t="s">
        <v>26</v>
      </c>
      <c r="J147" s="131" t="s">
        <v>31</v>
      </c>
      <c r="K147" s="131" t="s">
        <v>27</v>
      </c>
      <c r="L147" s="131" t="s">
        <v>30</v>
      </c>
      <c r="M147" s="131" t="s">
        <v>37</v>
      </c>
      <c r="N147" s="131" t="s">
        <v>39</v>
      </c>
      <c r="O147" s="132" t="s">
        <v>38</v>
      </c>
      <c r="Q147" s="133" t="s">
        <v>3</v>
      </c>
      <c r="R147" s="133" t="s">
        <v>15</v>
      </c>
      <c r="S147" s="133" t="s">
        <v>36</v>
      </c>
    </row>
    <row r="148" spans="1:19">
      <c r="A148" s="134" t="s">
        <v>29</v>
      </c>
      <c r="B148" s="135">
        <v>0</v>
      </c>
      <c r="D148" s="134" t="s">
        <v>32</v>
      </c>
      <c r="E148" s="135">
        <v>1</v>
      </c>
      <c r="G148" s="134" t="s">
        <v>32</v>
      </c>
      <c r="H148" s="136">
        <v>0</v>
      </c>
      <c r="I148" s="136">
        <v>0</v>
      </c>
      <c r="J148" s="136">
        <v>1</v>
      </c>
      <c r="K148" s="136">
        <v>0</v>
      </c>
      <c r="L148" s="136">
        <v>0</v>
      </c>
      <c r="M148" s="136">
        <v>0</v>
      </c>
      <c r="N148" s="136">
        <v>0</v>
      </c>
      <c r="O148" s="135">
        <v>0</v>
      </c>
      <c r="Q148" s="134" t="s">
        <v>0</v>
      </c>
      <c r="R148" s="136">
        <v>1</v>
      </c>
      <c r="S148" s="135">
        <v>0</v>
      </c>
    </row>
    <row r="149" spans="1:19">
      <c r="A149" s="134" t="s">
        <v>26</v>
      </c>
      <c r="B149" s="135">
        <v>0</v>
      </c>
      <c r="D149" s="134" t="s">
        <v>33</v>
      </c>
      <c r="E149" s="135">
        <v>0</v>
      </c>
      <c r="G149" s="134" t="s">
        <v>33</v>
      </c>
      <c r="H149" s="136">
        <v>0</v>
      </c>
      <c r="I149" s="136">
        <v>0</v>
      </c>
      <c r="J149" s="136">
        <v>0</v>
      </c>
      <c r="K149" s="136">
        <v>0</v>
      </c>
      <c r="L149" s="136">
        <v>0</v>
      </c>
      <c r="M149" s="136">
        <v>0</v>
      </c>
      <c r="N149" s="136">
        <v>0</v>
      </c>
      <c r="O149" s="135">
        <v>0</v>
      </c>
      <c r="Q149" s="137" t="s">
        <v>2</v>
      </c>
      <c r="R149" s="138">
        <v>1</v>
      </c>
      <c r="S149" s="139">
        <v>0</v>
      </c>
    </row>
    <row r="150" spans="1:19">
      <c r="A150" s="134" t="s">
        <v>31</v>
      </c>
      <c r="B150" s="135">
        <v>1</v>
      </c>
      <c r="D150" s="137" t="s">
        <v>34</v>
      </c>
      <c r="E150" s="139">
        <v>0</v>
      </c>
      <c r="G150" s="137" t="s">
        <v>34</v>
      </c>
      <c r="H150" s="138">
        <v>0</v>
      </c>
      <c r="I150" s="138">
        <v>0</v>
      </c>
      <c r="J150" s="138">
        <v>0</v>
      </c>
      <c r="K150" s="138">
        <v>0</v>
      </c>
      <c r="L150" s="138">
        <v>0</v>
      </c>
      <c r="M150" s="138">
        <v>0</v>
      </c>
      <c r="N150" s="138">
        <v>0</v>
      </c>
      <c r="O150" s="139">
        <v>0</v>
      </c>
    </row>
    <row r="151" spans="1:19">
      <c r="A151" s="134" t="s">
        <v>27</v>
      </c>
      <c r="B151" s="135">
        <v>0</v>
      </c>
    </row>
    <row r="152" spans="1:19">
      <c r="A152" s="134" t="s">
        <v>30</v>
      </c>
      <c r="B152" s="135">
        <v>0</v>
      </c>
    </row>
    <row r="153" spans="1:19">
      <c r="A153" s="134" t="s">
        <v>37</v>
      </c>
      <c r="B153" s="135">
        <v>0</v>
      </c>
    </row>
    <row r="154" spans="1:19">
      <c r="A154" s="134" t="s">
        <v>39</v>
      </c>
      <c r="B154" s="135">
        <v>0</v>
      </c>
    </row>
    <row r="155" spans="1:19">
      <c r="A155" s="137" t="s">
        <v>38</v>
      </c>
      <c r="B155" s="139">
        <v>0</v>
      </c>
    </row>
  </sheetData>
  <phoneticPr fontId="28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9.9978637043366805E-2"/>
    <pageSetUpPr fitToPage="1"/>
  </sheetPr>
  <dimension ref="A1:R17"/>
  <sheetViews>
    <sheetView showGridLines="0" zoomScale="70" zoomScaleNormal="70" zoomScalePageLayoutView="84" workbookViewId="0">
      <selection activeCell="J14" sqref="J14:K14"/>
    </sheetView>
  </sheetViews>
  <sheetFormatPr defaultColWidth="8.625" defaultRowHeight="30" customHeight="1"/>
  <cols>
    <col min="1" max="2" width="5.625" customWidth="1"/>
    <col min="3" max="3" width="2.625" customWidth="1"/>
    <col min="4" max="4" width="24.625" customWidth="1"/>
    <col min="5" max="10" width="12.625" customWidth="1"/>
    <col min="11" max="11" width="24.625" customWidth="1"/>
    <col min="12" max="12" width="2.625" customWidth="1"/>
    <col min="13" max="13" width="5.625" style="1" customWidth="1"/>
    <col min="14" max="14" width="75.5" style="2" customWidth="1"/>
    <col min="15" max="15" width="28.625" style="2" customWidth="1"/>
    <col min="16" max="16" width="78.875" style="3" customWidth="1"/>
    <col min="17" max="17" width="7.625" style="3" customWidth="1"/>
    <col min="18" max="18" width="5.625" customWidth="1"/>
  </cols>
  <sheetData>
    <row r="1" spans="1:18" ht="30" customHeight="1">
      <c r="A1" s="85"/>
      <c r="B1" s="85"/>
      <c r="C1" s="85"/>
      <c r="D1" s="86"/>
      <c r="E1" s="85"/>
      <c r="F1" s="85"/>
      <c r="G1" s="85"/>
      <c r="H1" s="85"/>
      <c r="I1" s="85"/>
      <c r="J1" s="85"/>
      <c r="K1" s="85"/>
      <c r="L1" s="85"/>
      <c r="M1" s="88"/>
      <c r="N1" s="88"/>
      <c r="O1" s="88"/>
      <c r="P1" s="88"/>
      <c r="Q1" s="88"/>
      <c r="R1" s="88"/>
    </row>
    <row r="2" spans="1:18" ht="30" customHeight="1" thickBot="1">
      <c r="A2" s="85"/>
      <c r="D2" s="6"/>
      <c r="E2" s="6"/>
      <c r="F2" s="6"/>
      <c r="G2" s="6"/>
      <c r="H2" s="6"/>
      <c r="I2" s="6"/>
      <c r="J2" s="6"/>
      <c r="K2" s="6"/>
      <c r="N2" s="103"/>
      <c r="O2" s="106"/>
      <c r="P2" s="40"/>
      <c r="Q2" s="40"/>
      <c r="R2" s="85"/>
    </row>
    <row r="3" spans="1:18" ht="30" customHeight="1" thickTop="1" thickBot="1">
      <c r="A3" s="85"/>
      <c r="C3" s="7"/>
      <c r="D3" s="8"/>
      <c r="K3" s="8"/>
      <c r="L3" s="28"/>
      <c r="N3" s="41"/>
      <c r="O3" s="107"/>
      <c r="P3" s="42"/>
      <c r="Q3" s="140"/>
      <c r="R3" s="85"/>
    </row>
    <row r="4" spans="1:18" ht="35.1" customHeight="1" thickTop="1">
      <c r="A4" s="85"/>
      <c r="C4" s="9"/>
      <c r="D4" s="10" t="s">
        <v>20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Q4" s="141"/>
      <c r="R4" s="85"/>
    </row>
    <row r="5" spans="1:18" ht="30" customHeight="1">
      <c r="A5" s="87"/>
      <c r="B5" s="12"/>
      <c r="C5" s="13"/>
      <c r="D5" s="195">
        <f ca="1">CalendarYear</f>
        <v>2026</v>
      </c>
      <c r="E5" s="27">
        <f ca="1">IF(DAY(JulSun1)=1,AprSun1-6,JulSun1+1)</f>
        <v>46202</v>
      </c>
      <c r="F5" s="27">
        <f ca="1">IF(DAY(JulSun1)=1,JulSun1-5,JulSun1+2)</f>
        <v>46203</v>
      </c>
      <c r="G5" s="27">
        <f ca="1">IF(DAY(JulSun1)=1,JulSun1-4,JulSun1+3)</f>
        <v>46204</v>
      </c>
      <c r="H5" s="27">
        <f ca="1">IF(DAY(JulSun1)=1,JulSun1-3,JulSun1+4)</f>
        <v>46205</v>
      </c>
      <c r="I5" s="27">
        <f ca="1">IF(DAY(JulSun1)=1,JulSun1-2,JulSun1+5)</f>
        <v>46206</v>
      </c>
      <c r="J5" s="27">
        <f ca="1">IF(DAY(JulSun1)=1,JulSun1-1,JulSun1+6)</f>
        <v>46207</v>
      </c>
      <c r="K5" s="27">
        <f ca="1">IF(DAY(JulSun1)=1,JulSun1,JulSun1+7)</f>
        <v>46208</v>
      </c>
      <c r="L5" s="30"/>
      <c r="M5" s="45"/>
      <c r="N5" s="46"/>
      <c r="O5" s="109"/>
      <c r="P5" s="47"/>
      <c r="Q5" s="140"/>
      <c r="R5" s="85"/>
    </row>
    <row r="6" spans="1:18" ht="30" customHeight="1">
      <c r="A6" s="87"/>
      <c r="B6" s="12"/>
      <c r="C6" s="13"/>
      <c r="D6" s="195"/>
      <c r="E6" s="27">
        <f ca="1">IF(DAY(JulSun1)=1,JulSun1+1,JulSun1+8)</f>
        <v>46209</v>
      </c>
      <c r="F6" s="27">
        <f ca="1">IF(DAY(JulSun1)=1,JulSun1+2,JulSun1+9)</f>
        <v>46210</v>
      </c>
      <c r="G6" s="27">
        <f ca="1">IF(DAY(JulSun1)=1,JulSun1+3,JulSun1+10)</f>
        <v>46211</v>
      </c>
      <c r="H6" s="27">
        <f ca="1">IF(DAY(JulSun1)=1,JulSun1+4,JulSun1+11)</f>
        <v>46212</v>
      </c>
      <c r="I6" s="27">
        <f ca="1">IF(DAY(JulSun1)=1,JulSun1+5,JulSun1+12)</f>
        <v>46213</v>
      </c>
      <c r="J6" s="27">
        <f ca="1">IF(DAY(JulSun1)=1,JulSun1+6,JulSun1+13)</f>
        <v>46214</v>
      </c>
      <c r="K6" s="27">
        <f ca="1">IF(DAY(JulSun1)=1,JulSun1+7,JulSun1+14)</f>
        <v>46215</v>
      </c>
      <c r="L6" s="30"/>
      <c r="M6" s="48"/>
      <c r="N6" s="179" t="s">
        <v>50</v>
      </c>
      <c r="O6" s="110" t="s">
        <v>25</v>
      </c>
      <c r="P6" s="111" t="s">
        <v>14</v>
      </c>
      <c r="Q6" s="142"/>
      <c r="R6" s="85"/>
    </row>
    <row r="7" spans="1:18" ht="30" customHeight="1">
      <c r="A7" s="87"/>
      <c r="B7" s="12"/>
      <c r="C7" s="13"/>
      <c r="D7" s="14"/>
      <c r="E7" s="27">
        <f ca="1">IF(DAY(JulSun1)=1,JulSun1+8,JulSun1+15)</f>
        <v>46216</v>
      </c>
      <c r="F7" s="27">
        <f ca="1">IF(DAY(JulSun1)=1,JulSun1+9,JulSun1+16)</f>
        <v>46217</v>
      </c>
      <c r="G7" s="27">
        <f ca="1">IF(DAY(JulSun1)=1,JulSun1+10,JulSun1+17)</f>
        <v>46218</v>
      </c>
      <c r="H7" s="27">
        <f ca="1">IF(DAY(JulSun1)=1,JulSun1+11,JulSun1+18)</f>
        <v>46219</v>
      </c>
      <c r="I7" s="27">
        <f ca="1">IF(DAY(JulSun1)=1,JulSun1+12,JulSun1+19)</f>
        <v>46220</v>
      </c>
      <c r="J7" s="27">
        <f ca="1">IF(DAY(JulSun1)=1,JulSun1+13,JulSun1+20)</f>
        <v>46221</v>
      </c>
      <c r="K7" s="27">
        <f ca="1">IF(DAY(JulSun1)=1,JulSun1+14,JulSun1+21)</f>
        <v>46222</v>
      </c>
      <c r="L7" s="30"/>
      <c r="M7" s="48"/>
      <c r="N7" s="89"/>
      <c r="O7" s="201"/>
      <c r="P7" s="217"/>
      <c r="Q7" s="143"/>
      <c r="R7" s="85"/>
    </row>
    <row r="8" spans="1:18" ht="30" customHeight="1">
      <c r="A8" s="87"/>
      <c r="B8" s="12"/>
      <c r="C8" s="13"/>
      <c r="D8" s="14"/>
      <c r="E8" s="27">
        <f ca="1">IF(DAY(JulSun1)=1,JulSun1+15,JulSun1+22)</f>
        <v>46223</v>
      </c>
      <c r="F8" s="27">
        <f ca="1">IF(DAY(JulSun1)=1,JulSun1+16,JulSun1+23)</f>
        <v>46224</v>
      </c>
      <c r="G8" s="27">
        <f ca="1">IF(DAY(JulSun1)=1,JulSun1+17,JulSun1+24)</f>
        <v>46225</v>
      </c>
      <c r="H8" s="27">
        <f ca="1">IF(DAY(JulSun1)=1,JulSun1+18,JulSun1+25)</f>
        <v>46226</v>
      </c>
      <c r="I8" s="27">
        <f ca="1">IF(DAY(JulSun1)=1,JulSun1+19,JulSun1+26)</f>
        <v>46227</v>
      </c>
      <c r="J8" s="27">
        <f ca="1">IF(DAY(JulSun1)=1,JulSun1+20,JulSun1+27)</f>
        <v>46228</v>
      </c>
      <c r="K8" s="27">
        <f ca="1">IF(DAY(JulSun1)=1,JulSun1+21,JulSun1+28)</f>
        <v>46229</v>
      </c>
      <c r="L8" s="30"/>
      <c r="M8" s="48"/>
      <c r="N8" s="176"/>
      <c r="O8" s="202"/>
      <c r="P8" s="199"/>
      <c r="Q8" s="144"/>
      <c r="R8" s="85"/>
    </row>
    <row r="9" spans="1:18" ht="29.1" customHeight="1">
      <c r="A9" s="87"/>
      <c r="B9" s="12"/>
      <c r="C9" s="13"/>
      <c r="D9" s="14"/>
      <c r="E9" s="27">
        <f ca="1">IF(DAY(JulSun1)=1,JulSun1+22,JulSun1+29)</f>
        <v>46230</v>
      </c>
      <c r="F9" s="27">
        <f ca="1">IF(DAY(JulSun1)=1,JulSun1+23,JulSun1+30)</f>
        <v>46231</v>
      </c>
      <c r="G9" s="27">
        <f ca="1">IF(DAY(JulSun1)=1,JulSun1+24,JulSun1+31)</f>
        <v>46232</v>
      </c>
      <c r="H9" s="27">
        <f ca="1">IF(DAY(JulSun1)=1,JulSun1+25,JulSun1+32)</f>
        <v>46233</v>
      </c>
      <c r="I9" s="27">
        <f ca="1">IF(DAY(JulSun1)=1,JulSun1+26,JulSun1+33)</f>
        <v>46234</v>
      </c>
      <c r="J9" s="27">
        <f ca="1">IF(DAY(JulSun1)=1,JulSun1+27,JulSun1+34)</f>
        <v>46235</v>
      </c>
      <c r="K9" s="27">
        <f ca="1">IF(DAY(JulSun1)=1,JulSun1+28,JulSun1+35)</f>
        <v>46236</v>
      </c>
      <c r="L9" s="30"/>
      <c r="M9" s="52"/>
      <c r="N9" s="50"/>
      <c r="O9" s="116"/>
      <c r="P9" s="118"/>
      <c r="Q9" s="145"/>
      <c r="R9" s="85"/>
    </row>
    <row r="10" spans="1:18" ht="30" customHeight="1">
      <c r="A10" s="87"/>
      <c r="B10" s="12"/>
      <c r="C10" s="13"/>
      <c r="D10" s="14"/>
      <c r="E10" s="27">
        <f ca="1">IF(DAY(JulSun1)=1,JulSun1+29,JulSun1+36)</f>
        <v>46237</v>
      </c>
      <c r="F10" s="27">
        <f ca="1">IF(DAY(JulSun1)=1,JulSun1+30,JulSun1+37)</f>
        <v>46238</v>
      </c>
      <c r="G10" s="27">
        <f ca="1">IF(DAY(JulSun1)=1,JulSun1+31,JulSun1+38)</f>
        <v>46239</v>
      </c>
      <c r="H10" s="27">
        <f ca="1">IF(DAY(JulSun1)=1,JulSun1+32,JulSun1+39)</f>
        <v>46240</v>
      </c>
      <c r="I10" s="27">
        <f ca="1">IF(DAY(JulSun1)=1,JulSun1+33,JulSun1+40)</f>
        <v>46241</v>
      </c>
      <c r="J10" s="27">
        <f ca="1">IF(DAY(JulSun1)=1,JulSun1+34,JulSun1+41)</f>
        <v>46242</v>
      </c>
      <c r="K10" s="27">
        <f ca="1">IF(DAY(JulSun1)=1,JulSun1+35,JulSun1+42)</f>
        <v>46243</v>
      </c>
      <c r="L10" s="31"/>
      <c r="M10" s="48"/>
      <c r="N10" s="51"/>
      <c r="O10" s="116"/>
      <c r="P10" s="118"/>
      <c r="Q10" s="146"/>
      <c r="R10" s="85"/>
    </row>
    <row r="11" spans="1:18" ht="30" customHeight="1" thickBot="1">
      <c r="A11" s="87"/>
      <c r="B11" s="12"/>
      <c r="C11" s="15"/>
      <c r="D11" s="6"/>
      <c r="K11" s="6"/>
      <c r="L11" s="32"/>
      <c r="M11" s="53"/>
      <c r="N11" s="51"/>
      <c r="O11" s="116"/>
      <c r="P11" s="118"/>
      <c r="Q11" s="146"/>
      <c r="R11" s="85"/>
    </row>
    <row r="12" spans="1:18" ht="30" customHeight="1" thickTop="1">
      <c r="A12" s="87"/>
      <c r="B12" s="12"/>
      <c r="C12" s="12"/>
      <c r="D12" s="16"/>
      <c r="E12" s="8"/>
      <c r="F12" s="8"/>
      <c r="G12" s="8"/>
      <c r="H12" s="8"/>
      <c r="I12" s="8"/>
      <c r="J12" s="8"/>
      <c r="K12" s="8"/>
      <c r="N12" s="54"/>
      <c r="O12" s="116"/>
      <c r="P12" s="118"/>
      <c r="Q12" s="147"/>
      <c r="R12" s="85"/>
    </row>
    <row r="13" spans="1:18" ht="30" customHeight="1">
      <c r="A13" s="87"/>
      <c r="B13" s="12"/>
      <c r="C13" s="12"/>
      <c r="H13" s="196" t="s">
        <v>0</v>
      </c>
      <c r="I13" s="196"/>
      <c r="J13" s="196" t="s">
        <v>1</v>
      </c>
      <c r="K13" s="196"/>
      <c r="L13" s="33"/>
      <c r="N13" s="54"/>
      <c r="O13" s="116"/>
      <c r="P13" s="118"/>
      <c r="Q13" s="148"/>
      <c r="R13" s="85"/>
    </row>
    <row r="14" spans="1:18" ht="35.25" customHeight="1">
      <c r="A14" s="87"/>
      <c r="B14" s="12"/>
      <c r="C14" s="12"/>
      <c r="D14" s="120"/>
      <c r="F14" s="119"/>
      <c r="G14" s="17"/>
      <c r="H14" s="196"/>
      <c r="I14" s="196"/>
      <c r="J14" s="196"/>
      <c r="K14" s="196"/>
      <c r="L14" s="33"/>
      <c r="M14" s="55"/>
      <c r="N14" s="50"/>
      <c r="O14" s="116"/>
      <c r="P14" s="118"/>
      <c r="Q14" s="148"/>
      <c r="R14" s="85"/>
    </row>
    <row r="15" spans="1:18" ht="30" customHeight="1" thickBot="1">
      <c r="A15" s="87"/>
      <c r="B15" s="12"/>
      <c r="C15" s="12"/>
      <c r="D15" s="18"/>
      <c r="E15" s="18"/>
      <c r="F15" s="18"/>
      <c r="G15" s="18"/>
      <c r="H15" s="18"/>
      <c r="I15" s="18"/>
      <c r="J15" s="18"/>
      <c r="K15" s="18"/>
      <c r="L15" s="18"/>
      <c r="M15" s="55"/>
      <c r="N15" s="51"/>
      <c r="O15" s="116"/>
      <c r="P15" s="118"/>
      <c r="Q15" s="147"/>
      <c r="R15" s="85"/>
    </row>
    <row r="16" spans="1:18" ht="30" customHeight="1" thickTop="1">
      <c r="A16" s="85"/>
      <c r="B16" s="20"/>
      <c r="C16" s="152"/>
      <c r="D16" s="23"/>
      <c r="E16" s="151"/>
      <c r="F16" s="151"/>
      <c r="G16" s="151"/>
      <c r="H16" s="151"/>
      <c r="I16" s="151"/>
      <c r="J16" s="151"/>
      <c r="K16" s="23"/>
      <c r="L16" s="150"/>
      <c r="R16" s="85"/>
    </row>
    <row r="17" spans="1:18" ht="30" customHeight="1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</row>
  </sheetData>
  <mergeCells count="7">
    <mergeCell ref="D5:D6"/>
    <mergeCell ref="P7:P8"/>
    <mergeCell ref="O7:O8"/>
    <mergeCell ref="H13:I13"/>
    <mergeCell ref="J13:K13"/>
    <mergeCell ref="H14:I14"/>
    <mergeCell ref="J14:K14"/>
  </mergeCells>
  <conditionalFormatting sqref="D16:K16">
    <cfRule type="expression" dxfId="180" priority="9">
      <formula>D16&lt;&gt;""</formula>
    </cfRule>
  </conditionalFormatting>
  <conditionalFormatting sqref="E5:J5">
    <cfRule type="expression" dxfId="179" priority="23" stopIfTrue="1">
      <formula>DAY(E5)&gt;8</formula>
    </cfRule>
  </conditionalFormatting>
  <conditionalFormatting sqref="E5:K10">
    <cfRule type="expression" dxfId="178" priority="24">
      <formula>VLOOKUP(DAY(E5),$O:$O,1,FALSE)=DAY(E5)</formula>
    </cfRule>
  </conditionalFormatting>
  <conditionalFormatting sqref="E9:K10">
    <cfRule type="expression" dxfId="177" priority="22" stopIfTrue="1">
      <formula>AND(DAY(E9)&gt;=1,DAY(E9)&lt;=15)</formula>
    </cfRule>
  </conditionalFormatting>
  <conditionalFormatting sqref="M6:M11">
    <cfRule type="expression" dxfId="176" priority="30">
      <formula>VLOOKUP(DAY(M6),AssignmentDays,1,FALSE)=DAY(M6)</formula>
    </cfRule>
  </conditionalFormatting>
  <conditionalFormatting sqref="M10:M11">
    <cfRule type="expression" dxfId="175" priority="29" stopIfTrue="1">
      <formula>AND(DAY(M10)&gt;=1,DAY(M10)&lt;=15)</formula>
    </cfRule>
  </conditionalFormatting>
  <dataValidations count="7">
    <dataValidation allowBlank="1" showInputMessage="1" showErrorMessage="1" prompt="July calendar. Calendar year is automatically updated based on cell D5 in Jan sheet." sqref="A1" xr:uid="{00000000-0002-0000-0800-000000000000}"/>
    <dataValidation allowBlank="1" showInputMessage="1" showErrorMessage="1" prompt="Calendar automatically highlights assignment list entries for the month. Darker fonts are assignments. Lighter fonts are days that belong to the previous or next month" sqref="D4" xr:uid="{00000000-0002-0000-0800-000001000000}"/>
    <dataValidation allowBlank="1" showInputMessage="1" showErrorMessage="1" prompt="Cells E4:K4 contain weekdays" sqref="E4" xr:uid="{00000000-0002-0000-0800-000002000000}"/>
    <dataValidation allowBlank="1" showInputMessage="1" showErrorMessage="1" prompt="Enter the assignment details in this column that correspond to the weekday in column N and day in column O for the calendar month at left" sqref="N4:O4" xr:uid="{ED12C3E4-2DD3-4CCC-BD3C-1FA76A050CBC}"/>
    <dataValidation allowBlank="1" showInputMessage="1" showErrorMessage="1" prompt="If this cell doesn’t contain the number 1, then it is a day from a previous month. Cells E5:K10 contain dates for the current month" sqref="E5" xr:uid="{00000000-0002-0000-0800-000004000000}"/>
    <dataValidation allowBlank="1" showInputMessage="1" showErrorMessage="1" prompt="If this row contains a number less than the previous number or row of numbers, then this row contains dates for the next calendar month" sqref="E10" xr:uid="{00000000-0002-0000-0800-000005000000}"/>
    <dataValidation allowBlank="1" showInputMessage="1" showErrorMessage="1" prompt="Calendar year is automatically updated in this cell. To change the calendar year, to go cell D5 in Jan worksheet." sqref="D5:D6" xr:uid="{00000000-0002-0000-0800-000008000000}"/>
  </dataValidations>
  <printOptions horizontalCentered="1" verticalCentered="1"/>
  <pageMargins left="0.25" right="0.25" top="0.5" bottom="0.5" header="0.3" footer="0.3"/>
  <pageSetup scale="47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D641115-943F-4582-AD6F-62271AE9D69A}">
            <xm:f>List!$A$8=O2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" id="{3EF3C5EE-7F72-4994-83F8-6F12ED605DD3}">
            <xm:f>List!$A$9=O2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3" id="{69392CDD-3585-4888-94A2-3C8DE0C2F669}">
            <xm:f>List!$A$7=O2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4" id="{4175C865-A9A9-4289-B416-916C1C32E2D9}">
            <xm:f>List!$A$6=O2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5" id="{E63F8C95-AAB2-49B0-AF59-E161C94CF6E4}">
            <xm:f>List!$A$5=O2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6" id="{40DB2297-DC6C-4D9D-B67C-C6CA34979301}">
            <xm:f>List!$A$4=O2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7" id="{46FB6941-C202-43CF-B1BA-BDA8F4F965FF}">
            <xm:f>List!$A$3=O2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8" id="{1BA3F6DE-8A73-4F6C-98BC-1FC6A2969709}">
            <xm:f>List!$A$2=O2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O2:O7 O16</xm:sqref>
        </x14:conditionalFormatting>
        <x14:conditionalFormatting xmlns:xm="http://schemas.microsoft.com/office/excel/2006/main">
          <x14:cfRule type="expression" priority="10" id="{531D5864-75F9-4BE4-B04A-1DA66C9AC312}">
            <xm:f>List!$A$8=O10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1" id="{1BDAE4F2-0114-4EDF-91CF-1006165ED854}">
            <xm:f>List!$A$9=O10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2" id="{9B8BDDA5-5F29-455C-8D01-1E29972BC543}">
            <xm:f>List!$A$7=O10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13" id="{30A2245B-F91B-4A78-A1C0-1689F756CFC9}">
            <xm:f>List!$A$6=O10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4" id="{D8551B66-C09D-4D6E-8E0E-73E6925431D8}">
            <xm:f>List!$A$5=O10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15" id="{F7C995C7-B7DF-4948-9B97-8D724E0A193C}">
            <xm:f>List!$A$4=O10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16" id="{4B33D4E9-E168-490B-BCF6-23E22DFEFBA7}">
            <xm:f>List!$A$3=O10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7" id="{5C4D4060-A3D3-4FAE-BAB7-161EF275D3E3}">
            <xm:f>List!$A$2=O10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O10 O12:O13 O15 O18:O1048576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39D7C2-DE4F-4867-91E7-24D2A97A08EB}">
          <x14:formula1>
            <xm:f>List!$A$2:$A$11</xm:f>
          </x14:formula1>
          <xm:sqref>O15 O12:O13 O7 O10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4506668294322"/>
    <pageSetUpPr fitToPage="1"/>
  </sheetPr>
  <dimension ref="A1:R15"/>
  <sheetViews>
    <sheetView showGridLines="0" zoomScale="70" zoomScaleNormal="70" zoomScalePageLayoutView="84" workbookViewId="0">
      <selection activeCell="N17" sqref="N17"/>
    </sheetView>
  </sheetViews>
  <sheetFormatPr defaultColWidth="8.625" defaultRowHeight="30" customHeight="1"/>
  <cols>
    <col min="1" max="2" width="5.625" customWidth="1"/>
    <col min="3" max="3" width="2.625" customWidth="1"/>
    <col min="4" max="4" width="24.625" customWidth="1"/>
    <col min="5" max="10" width="12.625" customWidth="1"/>
    <col min="11" max="11" width="24.625" customWidth="1"/>
    <col min="12" max="12" width="2.625" customWidth="1"/>
    <col min="13" max="13" width="5.625" style="1" customWidth="1"/>
    <col min="14" max="14" width="75.5" style="2" customWidth="1"/>
    <col min="15" max="15" width="28.625" style="2" customWidth="1"/>
    <col min="16" max="16" width="78.875" style="3" customWidth="1"/>
    <col min="17" max="17" width="8.25" style="3" customWidth="1"/>
    <col min="18" max="18" width="5.625" customWidth="1"/>
  </cols>
  <sheetData>
    <row r="1" spans="1:18" ht="30" customHeight="1">
      <c r="A1" s="77"/>
      <c r="B1" s="77"/>
      <c r="C1" s="77"/>
      <c r="D1" s="78"/>
      <c r="E1" s="77"/>
      <c r="F1" s="77"/>
      <c r="G1" s="77"/>
      <c r="H1" s="77"/>
      <c r="I1" s="77"/>
      <c r="J1" s="77"/>
      <c r="K1" s="77"/>
      <c r="L1" s="77"/>
      <c r="M1" s="82"/>
      <c r="N1" s="82"/>
      <c r="O1" s="82"/>
      <c r="P1" s="82"/>
      <c r="Q1" s="82"/>
      <c r="R1" s="77"/>
    </row>
    <row r="2" spans="1:18" ht="30" customHeight="1" thickBot="1">
      <c r="A2" s="77"/>
      <c r="D2" s="6"/>
      <c r="E2" s="6"/>
      <c r="F2" s="6"/>
      <c r="G2" s="6"/>
      <c r="H2" s="6"/>
      <c r="I2" s="6"/>
      <c r="J2" s="6"/>
      <c r="K2" s="6"/>
      <c r="M2" s="83"/>
      <c r="N2" s="103"/>
      <c r="O2" s="106"/>
      <c r="P2" s="40"/>
      <c r="Q2" s="40"/>
      <c r="R2" s="84"/>
    </row>
    <row r="3" spans="1:18" ht="30" customHeight="1" thickTop="1" thickBot="1">
      <c r="A3" s="77"/>
      <c r="C3" s="7"/>
      <c r="D3" s="8"/>
      <c r="K3" s="8"/>
      <c r="L3" s="28"/>
      <c r="N3" s="41"/>
      <c r="O3" s="107"/>
      <c r="P3" s="42"/>
      <c r="Q3" s="140"/>
      <c r="R3" s="84"/>
    </row>
    <row r="4" spans="1:18" ht="35.1" customHeight="1" thickTop="1">
      <c r="A4" s="77"/>
      <c r="C4" s="9"/>
      <c r="D4" s="10" t="s">
        <v>21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Q4" s="141"/>
      <c r="R4" s="84"/>
    </row>
    <row r="5" spans="1:18" ht="30" customHeight="1">
      <c r="A5" s="79"/>
      <c r="B5" s="12"/>
      <c r="C5" s="13"/>
      <c r="D5" s="195">
        <f ca="1">CalendarYear</f>
        <v>2026</v>
      </c>
      <c r="E5" s="27">
        <f ca="1">IF(DAY(AugSun1)=1,AprSun1-6,AugSun1+1)</f>
        <v>46230</v>
      </c>
      <c r="F5" s="27">
        <f ca="1">IF(DAY(AugSun1)=1,AugSun1-5,AugSun1+2)</f>
        <v>46231</v>
      </c>
      <c r="G5" s="27">
        <f ca="1">IF(DAY(AugSun1)=1,AugSun1-4,AugSun1+3)</f>
        <v>46232</v>
      </c>
      <c r="H5" s="27">
        <f ca="1">IF(DAY(AugSun1)=1,AugSun1-3,AugSun1+4)</f>
        <v>46233</v>
      </c>
      <c r="I5" s="27">
        <f ca="1">IF(DAY(AugSun1)=1,AugSun1-2,AugSun1+5)</f>
        <v>46234</v>
      </c>
      <c r="J5" s="27">
        <f ca="1">IF(DAY(AugSun1)=1,AugSun1-1,AugSun1+6)</f>
        <v>46235</v>
      </c>
      <c r="K5" s="27">
        <f ca="1">IF(DAY(AugSun1)=1,AugSun1,AugSun1+7)</f>
        <v>46236</v>
      </c>
      <c r="L5" s="30"/>
      <c r="M5" s="45"/>
      <c r="N5" s="46"/>
      <c r="O5" s="109"/>
      <c r="P5" s="47"/>
      <c r="Q5" s="140"/>
      <c r="R5" s="84"/>
    </row>
    <row r="6" spans="1:18" ht="30" customHeight="1">
      <c r="A6" s="79"/>
      <c r="B6" s="12"/>
      <c r="C6" s="13"/>
      <c r="D6" s="195"/>
      <c r="E6" s="27">
        <f ca="1">IF(DAY(AugSun1)=1,AugSun1+1,AugSun1+8)</f>
        <v>46237</v>
      </c>
      <c r="F6" s="27">
        <f ca="1">IF(DAY(AugSun1)=1,AugSun1+2,AugSun1+9)</f>
        <v>46238</v>
      </c>
      <c r="G6" s="27">
        <f ca="1">IF(DAY(AugSun1)=1,AugSun1+3,AugSun1+10)</f>
        <v>46239</v>
      </c>
      <c r="H6" s="27">
        <f ca="1">IF(DAY(AugSun1)=1,AugSun1+4,AugSun1+11)</f>
        <v>46240</v>
      </c>
      <c r="I6" s="27">
        <f ca="1">IF(DAY(AugSun1)=1,AugSun1+5,AugSun1+12)</f>
        <v>46241</v>
      </c>
      <c r="J6" s="27">
        <f ca="1">IF(DAY(AugSun1)=1,AugSun1+6,AugSun1+13)</f>
        <v>46242</v>
      </c>
      <c r="K6" s="27">
        <f ca="1">IF(DAY(AugSun1)=1,AugSun1+7,AugSun1+14)</f>
        <v>46243</v>
      </c>
      <c r="L6" s="30"/>
      <c r="M6" s="48"/>
      <c r="N6" s="179" t="s">
        <v>50</v>
      </c>
      <c r="O6" s="110" t="s">
        <v>25</v>
      </c>
      <c r="P6" s="111" t="s">
        <v>14</v>
      </c>
      <c r="Q6" s="142"/>
      <c r="R6" s="84"/>
    </row>
    <row r="7" spans="1:18" ht="30" customHeight="1">
      <c r="A7" s="79"/>
      <c r="B7" s="12"/>
      <c r="C7" s="13"/>
      <c r="D7" s="14"/>
      <c r="E7" s="27">
        <f ca="1">IF(DAY(AugSun1)=1,AugSun1+8,AugSun1+15)</f>
        <v>46244</v>
      </c>
      <c r="F7" s="27">
        <f ca="1">IF(DAY(AugSun1)=1,AugSun1+9,AugSun1+16)</f>
        <v>46245</v>
      </c>
      <c r="G7" s="27">
        <f ca="1">IF(DAY(AugSun1)=1,AugSun1+10,AugSun1+17)</f>
        <v>46246</v>
      </c>
      <c r="H7" s="27">
        <f ca="1">IF(DAY(AugSun1)=1,AugSun1+11,AugSun1+18)</f>
        <v>46247</v>
      </c>
      <c r="I7" s="27">
        <f ca="1">IF(DAY(AugSun1)=1,AugSun1+12,AugSun1+19)</f>
        <v>46248</v>
      </c>
      <c r="J7" s="27">
        <f ca="1">IF(DAY(AugSun1)=1,AugSun1+13,AugSun1+20)</f>
        <v>46249</v>
      </c>
      <c r="K7" s="27">
        <f ca="1">IF(DAY(AugSun1)=1,AugSun1+14,AugSun1+21)</f>
        <v>46250</v>
      </c>
      <c r="L7" s="30"/>
      <c r="M7" s="48"/>
      <c r="N7" s="89" t="s">
        <v>51</v>
      </c>
      <c r="O7" s="113"/>
      <c r="P7" s="58"/>
      <c r="Q7" s="143"/>
      <c r="R7" s="84"/>
    </row>
    <row r="8" spans="1:18" ht="30" customHeight="1">
      <c r="A8" s="79"/>
      <c r="B8" s="12"/>
      <c r="C8" s="13"/>
      <c r="D8" s="14"/>
      <c r="E8" s="27">
        <f ca="1">IF(DAY(AugSun1)=1,AugSun1+15,AugSun1+22)</f>
        <v>46251</v>
      </c>
      <c r="F8" s="27">
        <f ca="1">IF(DAY(AugSun1)=1,AugSun1+16,AugSun1+23)</f>
        <v>46252</v>
      </c>
      <c r="G8" s="27">
        <f ca="1">IF(DAY(AugSun1)=1,AugSun1+17,AugSun1+24)</f>
        <v>46253</v>
      </c>
      <c r="H8" s="27">
        <f ca="1">IF(DAY(AugSun1)=1,AugSun1+18,AugSun1+25)</f>
        <v>46254</v>
      </c>
      <c r="I8" s="27">
        <f ca="1">IF(DAY(AugSun1)=1,AugSun1+19,AugSun1+26)</f>
        <v>46255</v>
      </c>
      <c r="J8" s="27">
        <f ca="1">IF(DAY(AugSun1)=1,AugSun1+20,AugSun1+27)</f>
        <v>46256</v>
      </c>
      <c r="K8" s="27">
        <f ca="1">IF(DAY(AugSun1)=1,AugSun1+21,AugSun1+28)</f>
        <v>46257</v>
      </c>
      <c r="L8" s="30"/>
      <c r="M8" s="48"/>
      <c r="N8" s="176" t="s">
        <v>28</v>
      </c>
      <c r="O8" s="113"/>
      <c r="P8" s="58"/>
      <c r="Q8" s="144"/>
      <c r="R8" s="84"/>
    </row>
    <row r="9" spans="1:18" ht="30" customHeight="1">
      <c r="A9" s="79"/>
      <c r="B9" s="12"/>
      <c r="C9" s="13"/>
      <c r="D9" s="14"/>
      <c r="E9" s="27">
        <f ca="1">IF(DAY(AugSun1)=1,AugSun1+22,AugSun1+29)</f>
        <v>46258</v>
      </c>
      <c r="F9" s="27">
        <f ca="1">IF(DAY(AugSun1)=1,AugSun1+23,AugSun1+30)</f>
        <v>46259</v>
      </c>
      <c r="G9" s="27">
        <f ca="1">IF(DAY(AugSun1)=1,AugSun1+24,AugSun1+31)</f>
        <v>46260</v>
      </c>
      <c r="H9" s="27">
        <f ca="1">IF(DAY(AugSun1)=1,AugSun1+25,AugSun1+32)</f>
        <v>46261</v>
      </c>
      <c r="I9" s="27">
        <f ca="1">IF(DAY(AugSun1)=1,AugSun1+26,AugSun1+33)</f>
        <v>46262</v>
      </c>
      <c r="J9" s="27">
        <f ca="1">IF(DAY(AugSun1)=1,AugSun1+27,AugSun1+34)</f>
        <v>46263</v>
      </c>
      <c r="K9" s="27">
        <f ca="1">IF(DAY(AugSun1)=1,AugSun1+28,AugSun1+35)</f>
        <v>46264</v>
      </c>
      <c r="L9" s="30"/>
      <c r="M9" s="52"/>
      <c r="N9" s="50"/>
      <c r="O9" s="113"/>
      <c r="P9" s="58"/>
      <c r="Q9" s="145"/>
      <c r="R9" s="84"/>
    </row>
    <row r="10" spans="1:18" ht="30" customHeight="1">
      <c r="A10" s="79"/>
      <c r="B10" s="12"/>
      <c r="C10" s="13"/>
      <c r="D10" s="14"/>
      <c r="E10" s="27">
        <f ca="1">IF(DAY(AugSun1)=1,AugSun1+29,AugSun1+36)</f>
        <v>46265</v>
      </c>
      <c r="F10" s="27">
        <f ca="1">IF(DAY(AugSun1)=1,AugSun1+30,AugSun1+37)</f>
        <v>46266</v>
      </c>
      <c r="G10" s="27">
        <f ca="1">IF(DAY(AugSun1)=1,AugSun1+31,AugSun1+38)</f>
        <v>46267</v>
      </c>
      <c r="H10" s="27">
        <f ca="1">IF(DAY(AugSun1)=1,AugSun1+32,AugSun1+39)</f>
        <v>46268</v>
      </c>
      <c r="I10" s="27">
        <f ca="1">IF(DAY(AugSun1)=1,AugSun1+33,AugSun1+40)</f>
        <v>46269</v>
      </c>
      <c r="J10" s="27">
        <f ca="1">IF(DAY(AugSun1)=1,AugSun1+34,AugSun1+41)</f>
        <v>46270</v>
      </c>
      <c r="K10" s="27">
        <f ca="1">IF(DAY(AugSun1)=1,AugSun1+35,AugSun1+42)</f>
        <v>46271</v>
      </c>
      <c r="L10" s="31"/>
      <c r="M10" s="48"/>
      <c r="N10" s="51"/>
      <c r="O10" s="113"/>
      <c r="P10" s="161"/>
      <c r="Q10" s="146"/>
      <c r="R10" s="84"/>
    </row>
    <row r="11" spans="1:18" ht="30" customHeight="1" thickBot="1">
      <c r="A11" s="79"/>
      <c r="B11" s="12"/>
      <c r="C11" s="15"/>
      <c r="D11" s="6"/>
      <c r="K11" s="6"/>
      <c r="L11" s="32"/>
      <c r="M11" s="53"/>
      <c r="N11" s="51"/>
      <c r="O11" s="113"/>
      <c r="P11" s="161"/>
      <c r="Q11" s="146"/>
      <c r="R11" s="84"/>
    </row>
    <row r="12" spans="1:18" ht="30" customHeight="1" thickTop="1">
      <c r="A12" s="79"/>
      <c r="B12" s="12"/>
      <c r="C12" s="12"/>
      <c r="D12" s="16"/>
      <c r="E12" s="8"/>
      <c r="F12" s="8"/>
      <c r="G12" s="8"/>
      <c r="H12" s="8"/>
      <c r="I12" s="8"/>
      <c r="J12" s="8"/>
      <c r="K12" s="8"/>
      <c r="N12" s="54"/>
      <c r="O12" s="113"/>
      <c r="P12" s="118"/>
      <c r="Q12" s="147"/>
      <c r="R12" s="84"/>
    </row>
    <row r="13" spans="1:18" ht="30" customHeight="1" thickBot="1">
      <c r="A13" s="79"/>
      <c r="B13" s="12"/>
      <c r="C13" s="12"/>
      <c r="H13" s="196" t="s">
        <v>0</v>
      </c>
      <c r="I13" s="196"/>
      <c r="J13" s="196" t="s">
        <v>1</v>
      </c>
      <c r="K13" s="196"/>
      <c r="L13" s="33"/>
      <c r="N13" s="54"/>
      <c r="O13" s="116"/>
      <c r="P13" s="118"/>
      <c r="Q13" s="148"/>
      <c r="R13" s="84"/>
    </row>
    <row r="14" spans="1:18" ht="30" customHeight="1" thickTop="1">
      <c r="A14" s="81"/>
      <c r="B14" s="80"/>
      <c r="C14" s="152"/>
      <c r="D14" s="153"/>
      <c r="E14" s="153"/>
      <c r="F14" s="153"/>
      <c r="G14" s="153"/>
      <c r="H14" s="153"/>
      <c r="I14" s="153"/>
      <c r="J14" s="153"/>
      <c r="K14" s="153"/>
      <c r="L14" s="154"/>
      <c r="R14" s="84"/>
    </row>
    <row r="15" spans="1:18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</sheetData>
  <mergeCells count="3">
    <mergeCell ref="D5:D6"/>
    <mergeCell ref="H13:I13"/>
    <mergeCell ref="J13:K13"/>
  </mergeCells>
  <conditionalFormatting sqref="D14:K14">
    <cfRule type="expression" dxfId="158" priority="1">
      <formula>D14&lt;&gt;""</formula>
    </cfRule>
  </conditionalFormatting>
  <conditionalFormatting sqref="E5:J5">
    <cfRule type="expression" dxfId="157" priority="16" stopIfTrue="1">
      <formula>DAY(E5)&gt;8</formula>
    </cfRule>
  </conditionalFormatting>
  <conditionalFormatting sqref="E5:K10">
    <cfRule type="expression" dxfId="156" priority="17">
      <formula>VLOOKUP(DAY(E5),$O:$O,1,FALSE)=DAY(E5)</formula>
    </cfRule>
  </conditionalFormatting>
  <conditionalFormatting sqref="E9:K10">
    <cfRule type="expression" dxfId="155" priority="15" stopIfTrue="1">
      <formula>AND(DAY(E9)&gt;=1,DAY(E9)&lt;=15)</formula>
    </cfRule>
  </conditionalFormatting>
  <conditionalFormatting sqref="M6:M11">
    <cfRule type="expression" dxfId="154" priority="23">
      <formula>VLOOKUP(DAY(M6),AssignmentDays,1,FALSE)=DAY(M6)</formula>
    </cfRule>
  </conditionalFormatting>
  <conditionalFormatting sqref="M10:M11">
    <cfRule type="expression" dxfId="153" priority="22" stopIfTrue="1">
      <formula>AND(DAY(M10)&gt;=1,DAY(M10)&lt;=15)</formula>
    </cfRule>
  </conditionalFormatting>
  <dataValidations count="7">
    <dataValidation allowBlank="1" showInputMessage="1" showErrorMessage="1" prompt="August calendar. Calendar year is automatically updated based on cell D5 in Jan sheet." sqref="A1" xr:uid="{00000000-0002-0000-0900-000000000000}"/>
    <dataValidation allowBlank="1" showInputMessage="1" showErrorMessage="1" prompt="Calendar automatically highlights assignment list entries for the month. Darker fonts are assignments. Lighter fonts are days that belong to the previous or next month" sqref="D4" xr:uid="{00000000-0002-0000-0900-000001000000}"/>
    <dataValidation allowBlank="1" showInputMessage="1" showErrorMessage="1" prompt="Cells E4:K4 contain weekdays" sqref="E4" xr:uid="{00000000-0002-0000-0900-000002000000}"/>
    <dataValidation allowBlank="1" showInputMessage="1" showErrorMessage="1" prompt="Enter the assignment details in this column that correspond to the weekday in column N and day in column O for the calendar month at left" sqref="N4:O4" xr:uid="{EB5C9E08-5F82-4B2B-94DC-222C5C9489A8}"/>
    <dataValidation allowBlank="1" showInputMessage="1" showErrorMessage="1" prompt="If this cell doesn’t contain the number 1, then it is a day from a previous month. Cells E5:K10 contain dates for the current month" sqref="E5" xr:uid="{00000000-0002-0000-0900-000004000000}"/>
    <dataValidation allowBlank="1" showInputMessage="1" showErrorMessage="1" prompt="If this row contains a number less than the previous number or row of numbers, then this row contains dates for the next calendar month" sqref="E10" xr:uid="{00000000-0002-0000-0900-000005000000}"/>
    <dataValidation allowBlank="1" showInputMessage="1" showErrorMessage="1" prompt="Calendar year is automatically updated in this cell. To change the calendar year, to go cell D5 in Jan worksheet." sqref="D5:D6" xr:uid="{00000000-0002-0000-0900-000008000000}"/>
  </dataValidations>
  <printOptions horizontalCentered="1" verticalCentered="1"/>
  <pageMargins left="0.25" right="0.25" top="0.5" bottom="0.5" header="0.3" footer="0.3"/>
  <pageSetup scale="47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7315D7D-80A7-4624-AD63-A5BC2330DD83}">
            <xm:f>List!$A$8=O2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4" id="{1138D707-5A09-4D33-9831-CB5883FB6726}">
            <xm:f>List!$A$9=O2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5" id="{550A2762-D727-41CD-8308-209612168683}">
            <xm:f>List!$A$7=O2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6" id="{5C6DA182-B5F4-47C6-AEB3-09D88C002D82}">
            <xm:f>List!$A$6=O2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7" id="{61D2AD2B-BE61-402A-83BC-BFAC7AA401CE}">
            <xm:f>List!$A$5=O2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8" id="{B6773DA7-82DF-4FD8-92CF-1E671A956F7D}">
            <xm:f>List!$A$4=O2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9" id="{EC8E3D18-8B87-4688-A278-30DDED5787B1}">
            <xm:f>List!$A$3=O2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0" id="{84B74621-664C-496A-B554-55F9C813D5BD}">
            <xm:f>List!$A$2=O2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O2:O7 O16:O1048576 O10:O14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21DD8C-56F2-4ABB-8D6D-6F16D03E7749}">
          <x14:formula1>
            <xm:f>List!$A$2:$A$11</xm:f>
          </x14:formula1>
          <xm:sqref>O7 O10:O13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4506668294322"/>
    <pageSetUpPr fitToPage="1"/>
  </sheetPr>
  <dimension ref="A1:R43"/>
  <sheetViews>
    <sheetView showGridLines="0" zoomScale="70" zoomScaleNormal="70" zoomScalePageLayoutView="84" workbookViewId="0">
      <selection activeCell="K18" sqref="K18"/>
    </sheetView>
  </sheetViews>
  <sheetFormatPr defaultColWidth="8.625" defaultRowHeight="30" customHeight="1"/>
  <cols>
    <col min="1" max="2" width="5.625" customWidth="1"/>
    <col min="3" max="3" width="2.625" customWidth="1"/>
    <col min="4" max="4" width="24.625" customWidth="1"/>
    <col min="5" max="10" width="12.625" customWidth="1"/>
    <col min="11" max="11" width="24.625" customWidth="1"/>
    <col min="12" max="12" width="2.625" customWidth="1"/>
    <col min="13" max="13" width="5.625" style="1" customWidth="1"/>
    <col min="14" max="14" width="75.5" style="2" customWidth="1"/>
    <col min="15" max="15" width="28.625" style="2" customWidth="1"/>
    <col min="16" max="16" width="78.875" style="3" customWidth="1"/>
    <col min="17" max="17" width="8.875" style="3" customWidth="1"/>
    <col min="18" max="18" width="5.625" customWidth="1"/>
  </cols>
  <sheetData>
    <row r="1" spans="1:18" ht="30" customHeight="1">
      <c r="A1" s="71"/>
      <c r="B1" s="71"/>
      <c r="C1" s="71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30" customHeight="1" thickBot="1">
      <c r="A2" s="71"/>
      <c r="D2" s="6"/>
      <c r="E2" s="6"/>
      <c r="F2" s="6"/>
      <c r="G2" s="6"/>
      <c r="H2" s="6"/>
      <c r="I2" s="6"/>
      <c r="J2" s="6"/>
      <c r="K2" s="6"/>
      <c r="M2" s="75"/>
      <c r="N2" s="103"/>
      <c r="O2" s="106"/>
      <c r="P2" s="40"/>
      <c r="Q2" s="40"/>
      <c r="R2" s="71"/>
    </row>
    <row r="3" spans="1:18" ht="30" customHeight="1" thickTop="1" thickBot="1">
      <c r="A3" s="71"/>
      <c r="C3" s="7"/>
      <c r="D3" s="8"/>
      <c r="K3" s="8"/>
      <c r="L3" s="28"/>
      <c r="N3" s="41"/>
      <c r="O3" s="107"/>
      <c r="P3" s="42"/>
      <c r="Q3" s="140"/>
      <c r="R3" s="71"/>
    </row>
    <row r="4" spans="1:18" ht="35.1" customHeight="1" thickTop="1">
      <c r="A4" s="71"/>
      <c r="C4" s="9"/>
      <c r="D4" s="10" t="s">
        <v>22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Q4" s="141"/>
      <c r="R4" s="71"/>
    </row>
    <row r="5" spans="1:18" ht="30" customHeight="1">
      <c r="A5" s="73"/>
      <c r="B5" s="12"/>
      <c r="C5" s="13"/>
      <c r="D5" s="195">
        <f ca="1">CalendarYear</f>
        <v>2026</v>
      </c>
      <c r="E5" s="27">
        <f ca="1">IF(DAY(SepSun1)=1,SepSun1-6,SepSun1+1)</f>
        <v>46265</v>
      </c>
      <c r="F5" s="27">
        <f ca="1">IF(DAY(SepSun1)=1,SepSun1-5,SepSun1+2)</f>
        <v>46266</v>
      </c>
      <c r="G5" s="27">
        <f ca="1">IF(DAY(SepSun1)=1,SepSun1-4,SepSun1+3)</f>
        <v>46267</v>
      </c>
      <c r="H5" s="27">
        <f ca="1">IF(DAY(SepSun1)=1,SepSun1-3,SepSun1+4)</f>
        <v>46268</v>
      </c>
      <c r="I5" s="27">
        <f ca="1">IF(DAY(SepSun1)=1,SepSun1-2,SepSun1+5)</f>
        <v>46269</v>
      </c>
      <c r="J5" s="27">
        <f ca="1">IF(DAY(SepSun1)=1,SepSun1-1,SepSun1+6)</f>
        <v>46270</v>
      </c>
      <c r="K5" s="27">
        <f ca="1">IF(DAY(SepSun1)=1,SepSun1,SepSun1+7)</f>
        <v>46271</v>
      </c>
      <c r="L5" s="30"/>
      <c r="M5" s="45"/>
      <c r="N5" s="46"/>
      <c r="O5" s="109"/>
      <c r="P5" s="47"/>
      <c r="Q5" s="140"/>
      <c r="R5" s="71"/>
    </row>
    <row r="6" spans="1:18" ht="30" customHeight="1">
      <c r="A6" s="73"/>
      <c r="B6" s="12"/>
      <c r="C6" s="13"/>
      <c r="D6" s="195"/>
      <c r="E6" s="27">
        <f ca="1">IF(DAY(SepSun1)=1,SepSun1+1,SepSun1+8)</f>
        <v>46272</v>
      </c>
      <c r="F6" s="27">
        <f ca="1">IF(DAY(SepSun1)=1,SepSun1+2,SepSun1+9)</f>
        <v>46273</v>
      </c>
      <c r="G6" s="27">
        <f ca="1">IF(DAY(SepSun1)=1,SepSun1+3,SepSun1+10)</f>
        <v>46274</v>
      </c>
      <c r="H6" s="27">
        <f ca="1">IF(DAY(SepSun1)=1,SepSun1+4,SepSun1+11)</f>
        <v>46275</v>
      </c>
      <c r="I6" s="27">
        <f ca="1">IF(DAY(SepSun1)=1,SepSun1+5,SepSun1+12)</f>
        <v>46276</v>
      </c>
      <c r="J6" s="27">
        <f ca="1">IF(DAY(SepSun1)=1,SepSun1+6,SepSun1+13)</f>
        <v>46277</v>
      </c>
      <c r="K6" s="27">
        <f ca="1">IF(DAY(SepSun1)=1,SepSun1+7,SepSun1+14)</f>
        <v>46278</v>
      </c>
      <c r="L6" s="30"/>
      <c r="M6" s="48"/>
      <c r="N6" s="179" t="s">
        <v>50</v>
      </c>
      <c r="O6" s="162" t="s">
        <v>25</v>
      </c>
      <c r="P6" s="56" t="s">
        <v>14</v>
      </c>
      <c r="Q6" s="142"/>
      <c r="R6" s="71"/>
    </row>
    <row r="7" spans="1:18" ht="30" customHeight="1">
      <c r="A7" s="73"/>
      <c r="B7" s="12"/>
      <c r="C7" s="13"/>
      <c r="D7" s="14"/>
      <c r="E7" s="27">
        <f ca="1">IF(DAY(SepSun1)=1,SepSun1+8,SepSun1+15)</f>
        <v>46279</v>
      </c>
      <c r="F7" s="27">
        <f ca="1">IF(DAY(SepSun1)=1,SepSun1+9,SepSun1+16)</f>
        <v>46280</v>
      </c>
      <c r="G7" s="27">
        <f ca="1">IF(DAY(SepSun1)=1,SepSun1+10,SepSun1+17)</f>
        <v>46281</v>
      </c>
      <c r="H7" s="27">
        <f ca="1">IF(DAY(SepSun1)=1,SepSun1+11,SepSun1+18)</f>
        <v>46282</v>
      </c>
      <c r="I7" s="27">
        <f ca="1">IF(DAY(SepSun1)=1,SepSun1+12,SepSun1+19)</f>
        <v>46283</v>
      </c>
      <c r="J7" s="27">
        <f ca="1">IF(DAY(SepSun1)=1,SepSun1+13,SepSun1+20)</f>
        <v>46284</v>
      </c>
      <c r="K7" s="27">
        <f ca="1">IF(DAY(SepSun1)=1,SepSun1+14,SepSun1+21)</f>
        <v>46285</v>
      </c>
      <c r="L7" s="30"/>
      <c r="M7" s="48"/>
      <c r="N7" s="89" t="s">
        <v>51</v>
      </c>
      <c r="O7" s="190" t="s">
        <v>31</v>
      </c>
      <c r="P7" s="192" t="s">
        <v>57</v>
      </c>
      <c r="Q7" s="143"/>
      <c r="R7" s="71"/>
    </row>
    <row r="8" spans="1:18" ht="30" customHeight="1">
      <c r="A8" s="73"/>
      <c r="B8" s="12"/>
      <c r="C8" s="13"/>
      <c r="D8" s="14"/>
      <c r="E8" s="27">
        <f ca="1">IF(DAY(SepSun1)=1,SepSun1+15,SepSun1+22)</f>
        <v>46286</v>
      </c>
      <c r="F8" s="27">
        <f ca="1">IF(DAY(SepSun1)=1,SepSun1+16,SepSun1+23)</f>
        <v>46287</v>
      </c>
      <c r="G8" s="27">
        <f ca="1">IF(DAY(SepSun1)=1,SepSun1+17,SepSun1+24)</f>
        <v>46288</v>
      </c>
      <c r="H8" s="27">
        <f ca="1">IF(DAY(SepSun1)=1,SepSun1+18,SepSun1+25)</f>
        <v>46289</v>
      </c>
      <c r="I8" s="188">
        <f ca="1">IF(DAY(SepSun1)=1,SepSun1+19,SepSun1+26)</f>
        <v>46290</v>
      </c>
      <c r="J8" s="27">
        <f ca="1">IF(DAY(SepSun1)=1,SepSun1+20,SepSun1+27)</f>
        <v>46291</v>
      </c>
      <c r="K8" s="27">
        <f ca="1">IF(DAY(SepSun1)=1,SepSun1+21,SepSun1+28)</f>
        <v>46292</v>
      </c>
      <c r="L8" s="30"/>
      <c r="M8" s="48"/>
      <c r="N8" s="176" t="s">
        <v>28</v>
      </c>
      <c r="O8" s="191" t="s">
        <v>26</v>
      </c>
      <c r="P8" s="177" t="s">
        <v>58</v>
      </c>
      <c r="Q8" s="144"/>
      <c r="R8" s="71"/>
    </row>
    <row r="9" spans="1:18" ht="30" customHeight="1">
      <c r="A9" s="73"/>
      <c r="B9" s="12"/>
      <c r="C9" s="13"/>
      <c r="D9" s="14"/>
      <c r="E9" s="27">
        <f ca="1">IF(DAY(SepSun1)=1,SepSun1+22,SepSun1+29)</f>
        <v>46293</v>
      </c>
      <c r="F9" s="27">
        <f ca="1">IF(DAY(SepSun1)=1,SepSun1+23,SepSun1+30)</f>
        <v>46294</v>
      </c>
      <c r="G9" s="27">
        <f ca="1">IF(DAY(SepSun1)=1,SepSun1+24,SepSun1+31)</f>
        <v>46295</v>
      </c>
      <c r="H9" s="27">
        <f ca="1">IF(DAY(SepSun1)=1,SepSun1+25,SepSun1+32)</f>
        <v>46296</v>
      </c>
      <c r="I9" s="27">
        <f ca="1">IF(DAY(SepSun1)=1,SepSun1+26,SepSun1+33)</f>
        <v>46297</v>
      </c>
      <c r="J9" s="27">
        <f ca="1">IF(DAY(SepSun1)=1,SepSun1+27,SepSun1+34)</f>
        <v>46298</v>
      </c>
      <c r="K9" s="27">
        <f ca="1">IF(DAY(SepSun1)=1,SepSun1+28,SepSun1+35)</f>
        <v>46299</v>
      </c>
      <c r="L9" s="30"/>
      <c r="M9" s="52"/>
      <c r="N9" s="50"/>
      <c r="O9" s="113"/>
      <c r="P9" s="111"/>
      <c r="Q9" s="145"/>
      <c r="R9" s="71"/>
    </row>
    <row r="10" spans="1:18" ht="30" customHeight="1">
      <c r="A10" s="73"/>
      <c r="B10" s="12"/>
      <c r="C10" s="13"/>
      <c r="D10" s="14"/>
      <c r="E10" s="27">
        <f ca="1">IF(DAY(SepSun1)=1,SepSun1+29,SepSun1+36)</f>
        <v>46300</v>
      </c>
      <c r="F10" s="27">
        <f ca="1">IF(DAY(SepSun1)=1,SepSun1+30,SepSun1+37)</f>
        <v>46301</v>
      </c>
      <c r="G10" s="27">
        <f ca="1">IF(DAY(SepSun1)=1,SepSun1+31,SepSun1+38)</f>
        <v>46302</v>
      </c>
      <c r="H10" s="27">
        <f ca="1">IF(DAY(SepSun1)=1,SepSun1+32,SepSun1+39)</f>
        <v>46303</v>
      </c>
      <c r="I10" s="27">
        <f ca="1">IF(DAY(SepSun1)=1,SepSun1+33,SepSun1+40)</f>
        <v>46304</v>
      </c>
      <c r="J10" s="27">
        <f ca="1">IF(DAY(SepSun1)=1,SepSun1+34,SepSun1+41)</f>
        <v>46305</v>
      </c>
      <c r="K10" s="27">
        <f ca="1">IF(DAY(SepSun1)=1,SepSun1+35,SepSun1+42)</f>
        <v>46306</v>
      </c>
      <c r="L10" s="31"/>
      <c r="M10" s="48"/>
      <c r="N10" s="51"/>
      <c r="O10" s="113"/>
      <c r="P10" s="189" t="s">
        <v>68</v>
      </c>
      <c r="Q10" s="146"/>
      <c r="R10" s="71"/>
    </row>
    <row r="11" spans="1:18" ht="30" customHeight="1" thickBot="1">
      <c r="A11" s="73"/>
      <c r="B11" s="12"/>
      <c r="C11" s="15"/>
      <c r="D11" s="6"/>
      <c r="K11" s="6"/>
      <c r="L11" s="32"/>
      <c r="M11" s="53"/>
      <c r="N11" s="51"/>
      <c r="O11" s="113"/>
      <c r="P11" s="111"/>
      <c r="Q11" s="146"/>
      <c r="R11" s="71"/>
    </row>
    <row r="12" spans="1:18" ht="30" customHeight="1" thickTop="1">
      <c r="A12" s="73"/>
      <c r="B12" s="12"/>
      <c r="C12" s="12"/>
      <c r="D12" s="16"/>
      <c r="E12" s="8"/>
      <c r="F12" s="8"/>
      <c r="G12" s="8"/>
      <c r="H12" s="8"/>
      <c r="I12" s="8"/>
      <c r="J12" s="8"/>
      <c r="K12" s="8"/>
      <c r="N12" s="54"/>
      <c r="O12" s="113"/>
      <c r="P12" s="118"/>
      <c r="Q12" s="147"/>
      <c r="R12" s="71"/>
    </row>
    <row r="13" spans="1:18" ht="30" customHeight="1">
      <c r="A13" s="73"/>
      <c r="B13" s="12"/>
      <c r="C13" s="12"/>
      <c r="H13" s="196"/>
      <c r="I13" s="196"/>
      <c r="J13" s="196"/>
      <c r="K13" s="196"/>
      <c r="L13" s="33"/>
      <c r="N13" s="54"/>
      <c r="O13" s="116"/>
      <c r="P13" s="189" t="s">
        <v>60</v>
      </c>
      <c r="Q13" s="148"/>
      <c r="R13" s="71"/>
    </row>
    <row r="14" spans="1:18" ht="34.5" customHeight="1">
      <c r="A14" s="73"/>
      <c r="B14" s="12"/>
      <c r="C14" s="12"/>
      <c r="D14" s="120"/>
      <c r="F14" s="119"/>
      <c r="G14" s="17"/>
      <c r="H14" s="196"/>
      <c r="I14" s="196"/>
      <c r="J14" s="196"/>
      <c r="K14" s="196"/>
      <c r="L14" s="33"/>
      <c r="M14" s="55"/>
      <c r="N14" s="50"/>
      <c r="O14" s="116"/>
      <c r="P14" s="111"/>
      <c r="Q14" s="148"/>
      <c r="R14" s="71"/>
    </row>
    <row r="15" spans="1:18" ht="30" customHeight="1">
      <c r="A15" s="73"/>
      <c r="M15" s="55"/>
      <c r="N15" s="51"/>
      <c r="O15" s="116"/>
      <c r="P15" s="189" t="s">
        <v>70</v>
      </c>
      <c r="Q15" s="147"/>
      <c r="R15" s="71"/>
    </row>
    <row r="16" spans="1:18" ht="30" customHeight="1">
      <c r="A16" s="74"/>
      <c r="M16" s="57"/>
      <c r="N16" s="54"/>
      <c r="O16" s="113"/>
      <c r="P16" s="104"/>
      <c r="Q16" s="144"/>
      <c r="R16" s="71"/>
    </row>
    <row r="17" spans="1:18" ht="30" customHeight="1">
      <c r="A17" s="74"/>
      <c r="N17" s="54"/>
      <c r="O17" s="116"/>
      <c r="P17" s="118"/>
      <c r="Q17" s="144"/>
      <c r="R17" s="71"/>
    </row>
    <row r="18" spans="1:18" ht="30" customHeight="1">
      <c r="A18" s="74"/>
      <c r="M18" s="59"/>
      <c r="N18" s="50"/>
      <c r="O18" s="116"/>
      <c r="P18" s="118"/>
      <c r="Q18" s="142"/>
      <c r="R18" s="71"/>
    </row>
    <row r="19" spans="1:18" ht="30" customHeight="1">
      <c r="A19" s="74"/>
      <c r="L19" s="185"/>
      <c r="N19" s="54"/>
      <c r="O19" s="116"/>
      <c r="P19" s="104"/>
      <c r="Q19" s="143"/>
      <c r="R19" s="71"/>
    </row>
    <row r="20" spans="1:18" ht="30" customHeight="1">
      <c r="A20" s="74"/>
      <c r="L20" s="22"/>
      <c r="N20" s="54"/>
      <c r="O20" s="160"/>
      <c r="P20" s="104"/>
      <c r="Q20" s="144"/>
      <c r="R20" s="71"/>
    </row>
    <row r="21" spans="1:18" ht="30" customHeight="1">
      <c r="A21" s="74"/>
      <c r="L21" s="185"/>
      <c r="N21" s="50"/>
      <c r="O21" s="113"/>
      <c r="P21" s="118"/>
      <c r="Q21" s="145"/>
      <c r="R21" s="71"/>
    </row>
    <row r="22" spans="1:18" ht="30" customHeight="1">
      <c r="A22" s="74"/>
      <c r="L22" s="185"/>
      <c r="N22" s="51"/>
      <c r="O22" s="113"/>
      <c r="P22" s="118"/>
      <c r="Q22" s="146"/>
      <c r="R22" s="71"/>
    </row>
    <row r="23" spans="1:18" ht="30" customHeight="1">
      <c r="A23" s="74"/>
      <c r="L23" s="22"/>
      <c r="N23" s="54"/>
      <c r="O23" s="116"/>
      <c r="P23" s="118"/>
      <c r="Q23" s="146"/>
      <c r="R23" s="71"/>
    </row>
    <row r="24" spans="1:18" ht="30" customHeight="1">
      <c r="A24" s="74"/>
      <c r="L24" s="185"/>
      <c r="N24" s="51"/>
      <c r="O24" s="116"/>
      <c r="P24" s="118"/>
      <c r="Q24" s="147"/>
      <c r="R24" s="71"/>
    </row>
    <row r="25" spans="1:18" ht="42.95" customHeight="1">
      <c r="A25" s="74"/>
      <c r="L25" s="185"/>
      <c r="N25" s="51"/>
      <c r="O25" s="116"/>
      <c r="P25" s="104"/>
      <c r="Q25" s="148"/>
      <c r="R25" s="71"/>
    </row>
    <row r="26" spans="1:18" ht="30" customHeight="1">
      <c r="A26" s="74"/>
      <c r="L26" s="22"/>
      <c r="N26" s="54"/>
      <c r="O26" s="160"/>
      <c r="P26" s="104"/>
      <c r="Q26" s="148"/>
      <c r="R26" s="71"/>
    </row>
    <row r="27" spans="1:18" ht="30" customHeight="1">
      <c r="A27" s="74"/>
      <c r="E27" s="193"/>
      <c r="F27" s="193"/>
      <c r="G27" s="193"/>
      <c r="H27" s="193"/>
      <c r="I27" s="193"/>
      <c r="J27" s="193"/>
      <c r="N27" s="51"/>
      <c r="O27" s="113"/>
      <c r="P27" s="118"/>
      <c r="Q27" s="143"/>
      <c r="R27" s="71"/>
    </row>
    <row r="28" spans="1:18" ht="45.95" customHeight="1">
      <c r="A28" s="74"/>
      <c r="E28" s="194"/>
      <c r="F28" s="194"/>
      <c r="G28" s="194"/>
      <c r="H28" s="194"/>
      <c r="I28" s="194"/>
      <c r="J28" s="194"/>
      <c r="N28" s="54"/>
      <c r="O28" s="162"/>
      <c r="P28" s="56"/>
      <c r="Q28" s="142"/>
      <c r="R28" s="71"/>
    </row>
    <row r="29" spans="1:18" ht="44.1" customHeight="1">
      <c r="A29" s="74"/>
      <c r="E29" s="193"/>
      <c r="F29" s="193"/>
      <c r="G29" s="193"/>
      <c r="H29" s="193"/>
      <c r="I29" s="193"/>
      <c r="J29" s="193"/>
      <c r="N29" s="51"/>
      <c r="O29" s="113"/>
      <c r="P29" s="104"/>
      <c r="Q29" s="143"/>
      <c r="R29" s="71"/>
    </row>
    <row r="30" spans="1:18" ht="50.1" customHeight="1">
      <c r="A30" s="74"/>
      <c r="E30" s="194"/>
      <c r="F30" s="194"/>
      <c r="G30" s="194"/>
      <c r="H30" s="194"/>
      <c r="I30" s="194"/>
      <c r="J30" s="194"/>
      <c r="N30" s="54"/>
      <c r="O30" s="113"/>
      <c r="P30" s="104"/>
      <c r="Q30" s="143"/>
      <c r="R30" s="71"/>
    </row>
    <row r="31" spans="1:18" ht="30" customHeight="1">
      <c r="A31" s="74"/>
      <c r="E31" s="193"/>
      <c r="F31" s="193"/>
      <c r="G31" s="193"/>
      <c r="H31" s="193"/>
      <c r="I31" s="193"/>
      <c r="J31" s="193"/>
      <c r="N31" s="50"/>
      <c r="O31" s="160"/>
      <c r="P31" s="104"/>
      <c r="Q31" s="144"/>
      <c r="R31" s="71"/>
    </row>
    <row r="32" spans="1:18" ht="30" customHeight="1">
      <c r="A32" s="74"/>
      <c r="E32" s="194"/>
      <c r="F32" s="194"/>
      <c r="G32" s="194"/>
      <c r="H32" s="194"/>
      <c r="I32" s="194"/>
      <c r="J32" s="194"/>
      <c r="N32" s="51"/>
      <c r="O32" s="160"/>
      <c r="P32" s="104"/>
      <c r="Q32" s="144"/>
      <c r="R32" s="71"/>
    </row>
    <row r="33" spans="1:18" ht="30" customHeight="1">
      <c r="A33" s="74"/>
      <c r="E33" s="193"/>
      <c r="F33" s="193"/>
      <c r="G33" s="193"/>
      <c r="H33" s="193"/>
      <c r="I33" s="193"/>
      <c r="J33" s="193"/>
      <c r="N33" s="51"/>
      <c r="O33" s="113"/>
      <c r="P33" s="118"/>
      <c r="Q33" s="148"/>
      <c r="R33" s="71"/>
    </row>
    <row r="34" spans="1:18" ht="30" customHeight="1">
      <c r="A34" s="74"/>
      <c r="E34" s="194"/>
      <c r="F34" s="194"/>
      <c r="G34" s="194"/>
      <c r="H34" s="194"/>
      <c r="I34" s="194"/>
      <c r="J34" s="194"/>
      <c r="N34" s="54"/>
      <c r="O34" s="113"/>
      <c r="P34" s="118"/>
      <c r="Q34" s="148"/>
      <c r="R34" s="71"/>
    </row>
    <row r="35" spans="1:18" ht="30" customHeight="1">
      <c r="A35" s="74"/>
      <c r="E35" s="193"/>
      <c r="F35" s="193"/>
      <c r="G35" s="193"/>
      <c r="H35" s="193"/>
      <c r="I35" s="193"/>
      <c r="J35" s="193"/>
      <c r="N35" s="54"/>
      <c r="O35" s="116"/>
      <c r="P35" s="118"/>
      <c r="Q35" s="148"/>
      <c r="R35" s="71"/>
    </row>
    <row r="36" spans="1:18" ht="30" customHeight="1">
      <c r="A36" s="74"/>
      <c r="E36" s="194"/>
      <c r="F36" s="194"/>
      <c r="G36" s="194"/>
      <c r="H36" s="194"/>
      <c r="I36" s="194"/>
      <c r="J36" s="194"/>
      <c r="N36" s="50"/>
      <c r="O36" s="116"/>
      <c r="P36" s="118"/>
      <c r="Q36" s="148"/>
      <c r="R36" s="71"/>
    </row>
    <row r="37" spans="1:18" ht="30" customHeight="1">
      <c r="A37" s="74"/>
      <c r="E37" s="194"/>
      <c r="F37" s="194"/>
      <c r="G37" s="194"/>
      <c r="H37" s="194"/>
      <c r="I37" s="194"/>
      <c r="J37" s="194"/>
      <c r="K37" s="193"/>
      <c r="L37" s="193"/>
      <c r="N37" s="51"/>
      <c r="O37" s="116"/>
      <c r="P37" s="104"/>
      <c r="Q37" s="143"/>
      <c r="R37" s="71"/>
    </row>
    <row r="38" spans="1:18" ht="30" customHeight="1">
      <c r="A38" s="71"/>
      <c r="B38" s="194"/>
      <c r="C38" s="194"/>
      <c r="D38" s="185"/>
      <c r="E38" s="193"/>
      <c r="F38" s="193"/>
      <c r="G38" s="193"/>
      <c r="H38" s="193"/>
      <c r="I38" s="193"/>
      <c r="J38" s="193"/>
      <c r="K38" s="193"/>
      <c r="L38" s="193"/>
      <c r="N38" s="50"/>
      <c r="O38" s="112"/>
      <c r="P38" s="58"/>
      <c r="Q38" s="149"/>
      <c r="R38" s="71"/>
    </row>
    <row r="39" spans="1:18" ht="30" customHeight="1" thickBot="1">
      <c r="A39" s="71"/>
      <c r="B39" s="193"/>
      <c r="C39" s="193"/>
      <c r="D39" s="22"/>
      <c r="E39" s="194"/>
      <c r="F39" s="194"/>
      <c r="G39" s="194"/>
      <c r="H39" s="194"/>
      <c r="I39" s="194"/>
      <c r="J39" s="194"/>
      <c r="K39" s="193"/>
      <c r="L39" s="193"/>
      <c r="N39" s="61"/>
      <c r="O39" s="112"/>
      <c r="P39" s="58"/>
      <c r="Q39" s="149"/>
      <c r="R39" s="71"/>
    </row>
    <row r="40" spans="1:18" ht="30" customHeight="1" thickTop="1" thickBot="1">
      <c r="A40" s="71"/>
      <c r="B40" s="194"/>
      <c r="C40" s="194"/>
      <c r="D40" s="185"/>
      <c r="E40" s="194"/>
      <c r="F40" s="194"/>
      <c r="G40" s="194"/>
      <c r="H40" s="194"/>
      <c r="I40" s="194"/>
      <c r="J40" s="194"/>
      <c r="K40" s="193"/>
      <c r="L40" s="193"/>
      <c r="N40" s="60"/>
      <c r="O40" s="112"/>
      <c r="P40" s="58"/>
      <c r="Q40" s="149"/>
      <c r="R40" s="71"/>
    </row>
    <row r="41" spans="1:18" ht="30" customHeight="1" thickTop="1" thickBot="1">
      <c r="A41" s="71"/>
      <c r="B41" s="194"/>
      <c r="C41" s="194"/>
      <c r="D41" s="194"/>
      <c r="E41" s="194"/>
      <c r="F41" s="193"/>
      <c r="G41" s="193"/>
      <c r="H41" s="193"/>
      <c r="I41" s="193"/>
      <c r="J41" s="193"/>
      <c r="K41" s="193"/>
      <c r="L41" s="185"/>
      <c r="N41" s="76"/>
      <c r="O41" s="117"/>
      <c r="P41" s="70"/>
      <c r="Q41" s="149"/>
      <c r="R41" s="71"/>
    </row>
    <row r="42" spans="1:18" ht="30" customHeight="1" thickTop="1">
      <c r="A42" s="71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22"/>
      <c r="R42" s="71"/>
    </row>
    <row r="43" spans="1:18" ht="30" customHeigh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</row>
  </sheetData>
  <mergeCells count="64">
    <mergeCell ref="I35:J35"/>
    <mergeCell ref="D5:D6"/>
    <mergeCell ref="H13:I13"/>
    <mergeCell ref="J13:K13"/>
    <mergeCell ref="H14:I14"/>
    <mergeCell ref="J14:K14"/>
    <mergeCell ref="G39:H39"/>
    <mergeCell ref="I39:J39"/>
    <mergeCell ref="G31:H31"/>
    <mergeCell ref="I31:J31"/>
    <mergeCell ref="E33:F33"/>
    <mergeCell ref="G33:H33"/>
    <mergeCell ref="I33:J33"/>
    <mergeCell ref="E32:F32"/>
    <mergeCell ref="G32:H32"/>
    <mergeCell ref="I32:J32"/>
    <mergeCell ref="E31:F31"/>
    <mergeCell ref="E34:F34"/>
    <mergeCell ref="G34:H34"/>
    <mergeCell ref="I34:J34"/>
    <mergeCell ref="E35:F35"/>
    <mergeCell ref="G35:H35"/>
    <mergeCell ref="E36:F36"/>
    <mergeCell ref="G36:H36"/>
    <mergeCell ref="I36:J36"/>
    <mergeCell ref="E37:F37"/>
    <mergeCell ref="G37:H37"/>
    <mergeCell ref="I37:J37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B38:C38"/>
    <mergeCell ref="B39:C39"/>
    <mergeCell ref="B40:C40"/>
    <mergeCell ref="B41:C41"/>
    <mergeCell ref="K37:L37"/>
    <mergeCell ref="K38:L38"/>
    <mergeCell ref="K39:L39"/>
    <mergeCell ref="K40:L40"/>
    <mergeCell ref="J41:K41"/>
    <mergeCell ref="E40:F40"/>
    <mergeCell ref="G40:H40"/>
    <mergeCell ref="I40:J40"/>
    <mergeCell ref="E38:F38"/>
    <mergeCell ref="G38:H38"/>
    <mergeCell ref="I38:J38"/>
    <mergeCell ref="E39:F39"/>
    <mergeCell ref="B42:C42"/>
    <mergeCell ref="J42:K42"/>
    <mergeCell ref="D41:E41"/>
    <mergeCell ref="F41:G41"/>
    <mergeCell ref="H41:I41"/>
    <mergeCell ref="D42:E42"/>
    <mergeCell ref="F42:G42"/>
    <mergeCell ref="H42:I42"/>
  </mergeCells>
  <conditionalFormatting sqref="E5:J5">
    <cfRule type="expression" dxfId="144" priority="112" stopIfTrue="1">
      <formula>DAY(E5)&gt;8</formula>
    </cfRule>
  </conditionalFormatting>
  <conditionalFormatting sqref="E27:J40 K37:L40 B38:D40 B41:L42">
    <cfRule type="expression" dxfId="143" priority="98">
      <formula>B27&lt;&gt;""</formula>
    </cfRule>
  </conditionalFormatting>
  <conditionalFormatting sqref="E5:K10">
    <cfRule type="expression" dxfId="142" priority="113">
      <formula>VLOOKUP(DAY(E5),$O:$O,1,FALSE)=DAY(E5)</formula>
    </cfRule>
  </conditionalFormatting>
  <conditionalFormatting sqref="E9:K10">
    <cfRule type="expression" dxfId="141" priority="111" stopIfTrue="1">
      <formula>AND(DAY(E9)&gt;=1,DAY(E9)&lt;=15)</formula>
    </cfRule>
  </conditionalFormatting>
  <conditionalFormatting sqref="L19:L26">
    <cfRule type="expression" dxfId="140" priority="41">
      <formula>L19&lt;&gt;""</formula>
    </cfRule>
  </conditionalFormatting>
  <conditionalFormatting sqref="M6:M11">
    <cfRule type="expression" dxfId="139" priority="119">
      <formula>VLOOKUP(DAY(M6),AssignmentDays,1,FALSE)=DAY(M6)</formula>
    </cfRule>
  </conditionalFormatting>
  <conditionalFormatting sqref="M10:M11">
    <cfRule type="expression" dxfId="138" priority="118" stopIfTrue="1">
      <formula>AND(DAY(M10)&gt;=1,DAY(M10)&lt;=15)</formula>
    </cfRule>
  </conditionalFormatting>
  <dataValidations count="9">
    <dataValidation allowBlank="1" showInputMessage="1" showErrorMessage="1" prompt="September calendar. Calendar year is automatically updated based on cell D5 in Jan sheet." sqref="A1" xr:uid="{00000000-0002-0000-0A00-000000000000}"/>
    <dataValidation allowBlank="1" showInputMessage="1" showErrorMessage="1" prompt="Calendar automatically highlights assignment list entries for the month. Darker fonts are assignments. Lighter fonts are days that belong to the previous or next month" sqref="D4" xr:uid="{00000000-0002-0000-0A00-000001000000}"/>
    <dataValidation allowBlank="1" showInputMessage="1" showErrorMessage="1" prompt="Cells E4:K4 contain weekdays" sqref="E4" xr:uid="{00000000-0002-0000-0A00-000002000000}"/>
    <dataValidation allowBlank="1" showInputMessage="1" showErrorMessage="1" prompt="Enter the assignment details in this column that correspond to the weekday in column N and day in column O for the calendar month at left" sqref="N4:O4" xr:uid="{46F85E9E-C43E-4AB6-9FE5-C153ECCE3F91}"/>
    <dataValidation allowBlank="1" showInputMessage="1" showErrorMessage="1" prompt="If this cell doesn’t contain the number 1, then it is a day from a previous month. Cells E5:K10 contain dates for the current month" sqref="E5" xr:uid="{00000000-0002-0000-0A00-000004000000}"/>
    <dataValidation allowBlank="1" showInputMessage="1" showErrorMessage="1" prompt="If this row contains a number less than the previous number or row of numbers, then this row contains dates for the next calendar month" sqref="E10" xr:uid="{00000000-0002-0000-0A00-000005000000}"/>
    <dataValidation allowBlank="1" showInputMessage="1" showErrorMessage="1" prompt="Day of the week goes in this row, starting in cell D16" sqref="A16" xr:uid="{00000000-0002-0000-0A00-000006000000}"/>
    <dataValidation allowBlank="1" showInputMessage="1" showErrorMessage="1" prompt="Weekdays are in this row, from Monday to Friday" sqref="D16" xr:uid="{97C53F0B-06D6-4135-BECC-6188BF2CDE4D}"/>
    <dataValidation allowBlank="1" showInputMessage="1" showErrorMessage="1" prompt="Calendar year is automatically updated in this cell. To change the calendar year, to go cell D5 in Jan worksheet." sqref="D5:D6" xr:uid="{00000000-0002-0000-0A00-000008000000}"/>
  </dataValidations>
  <printOptions horizontalCentered="1" verticalCentered="1"/>
  <pageMargins left="0.25" right="0.25" top="0.5" bottom="0.5" header="0.3" footer="0.3"/>
  <pageSetup scale="47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99ABF042-E668-40EC-9C72-C19ADC824018}">
            <xm:f>List!$A$8=O2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0" id="{283B0C35-F1F8-4488-9E81-498FD14B3CFC}">
            <xm:f>List!$A$9=O2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1" id="{9A4DAF52-9552-47B2-BE6C-083436AF5142}">
            <xm:f>List!$A$7=O2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12" id="{DB35F190-CAEE-48F0-86EB-1A264BA1AA32}">
            <xm:f>List!$A$6=O2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3" id="{52BD408B-3F78-47E8-AD98-826156148BA2}">
            <xm:f>List!$A$5=O2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14" id="{00D261D9-B13C-486C-B472-FEE6227B8707}">
            <xm:f>List!$A$4=O2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15" id="{821E7768-4541-4D48-94DE-BAE6CB7D98DB}">
            <xm:f>List!$A$3=O2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6" id="{5D8E414A-9038-4255-BDF9-F9E7D9EA16C9}">
            <xm:f>List!$A$2=O2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O2:O8</xm:sqref>
        </x14:conditionalFormatting>
        <x14:conditionalFormatting xmlns:xm="http://schemas.microsoft.com/office/excel/2006/main">
          <x14:cfRule type="expression" priority="1" id="{0A8BE85E-BF0E-4BF7-AD6B-E24B1583B932}">
            <xm:f>List!$A$8=O10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" id="{E9323D80-2703-40F7-8EEF-266DA6F08843}">
            <xm:f>List!$A$9=O10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3" id="{29835727-0776-4F39-A942-CED37C43D174}">
            <xm:f>List!$A$7=O10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4" id="{2AEB6145-12C9-4DD0-B8F4-B8F6B03A763E}">
            <xm:f>List!$A$6=O10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5" id="{F6D7812D-728F-4C0E-95C6-87308C2E436B}">
            <xm:f>List!$A$5=O10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6" id="{B7287053-1EDF-4689-838C-431A7A284E8C}">
            <xm:f>List!$A$4=O10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7" id="{7DEF846D-FCD8-4532-8BDC-12541C909CE1}">
            <xm:f>List!$A$3=O10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8" id="{4DDF7CB3-750B-4F63-8CD1-8956B3A7C0A9}">
            <xm:f>List!$A$2=O10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O10</xm:sqref>
        </x14:conditionalFormatting>
        <x14:conditionalFormatting xmlns:xm="http://schemas.microsoft.com/office/excel/2006/main">
          <x14:cfRule type="expression" priority="17" id="{9692AE52-2A2E-4795-A2E0-D59A8DF80D4F}">
            <xm:f>List!$A$8=O12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8" id="{252043BE-A928-45AA-92C5-4D71954BBD31}">
            <xm:f>List!$A$9=O12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9" id="{8FA7B86D-4269-4658-BCEC-FABB29E88FED}">
            <xm:f>List!$A$7=O12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20" id="{0B3343A1-450C-4D26-88DB-07EA6376B25C}">
            <xm:f>List!$A$6=O12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1" id="{7524C623-6CF5-4160-9D8F-56A696E268AE}">
            <xm:f>List!$A$5=O12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22" id="{B6E380AC-E031-43E7-9016-A7A3F3275AB4}">
            <xm:f>List!$A$4=O12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23" id="{6E06AFDC-7EC7-4A88-96B7-E801EB8840EF}">
            <xm:f>List!$A$3=O12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24" id="{2304543B-F9A1-480E-94C8-2690CB6E2798}">
            <xm:f>List!$A$2=O12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O12:O13</xm:sqref>
        </x14:conditionalFormatting>
        <x14:conditionalFormatting xmlns:xm="http://schemas.microsoft.com/office/excel/2006/main">
          <x14:cfRule type="expression" priority="25" id="{E0DA9E8D-04C6-45A1-9CFB-56EABE53D1FB}">
            <xm:f>List!$A$8=O15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6" id="{421A6E14-65AB-4ECE-B6A7-9BFEA93CDFC3}">
            <xm:f>List!$A$9=O15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27" id="{BC444223-AAA2-4528-9F36-A4DE1241D32B}">
            <xm:f>List!$A$7=O15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28" id="{0515A3A9-EBD0-41F5-AEE9-8D95D4B38A9A}">
            <xm:f>List!$A$6=O15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9" id="{6021ED55-E9C9-47B9-973A-38C7C7D8B110}">
            <xm:f>List!$A$5=O15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30" id="{34EA012E-91B1-4CF5-AAF8-53C651526F18}">
            <xm:f>List!$A$4=O15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31" id="{C7123859-8E29-4409-8CF3-DFC36ED25B82}">
            <xm:f>List!$A$3=O15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32" id="{3159A1F5-5631-4EF3-B904-768E28B8757D}">
            <xm:f>List!$A$2=O15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O15:O17</xm:sqref>
        </x14:conditionalFormatting>
        <x14:conditionalFormatting xmlns:xm="http://schemas.microsoft.com/office/excel/2006/main">
          <x14:cfRule type="expression" priority="99" id="{8280520C-4C2C-4456-B856-7F8C0313C9F8}">
            <xm:f>List!$A$8=O19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00" id="{16722B82-73FA-4475-82E0-8C7427E45486}">
            <xm:f>List!$A$9=O19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01" id="{C59B07C2-F745-4003-BA78-6F44766AF760}">
            <xm:f>List!$A$7=O19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102" id="{E83C07D9-C309-4329-93C5-7B6DFB982FB3}">
            <xm:f>List!$A$6=O19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03" id="{C3116A7C-0811-4738-962D-C067060B7809}">
            <xm:f>List!$A$5=O19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104" id="{28FC24CD-2718-4C6B-AB3E-9EA8F5224830}">
            <xm:f>List!$A$4=O19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105" id="{EA2AEE6B-7C54-4885-975D-1791A7BF2FA1}">
            <xm:f>List!$A$3=O19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06" id="{1E5F0C88-1D71-40E2-A607-567E9CABD99A}">
            <xm:f>List!$A$2=O19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O19 O21 O23 O25 O27:O31 O33 O35 O37:O42 O44:O1048576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24114C-B5FB-44D3-AF1B-B237F068056E}">
          <x14:formula1>
            <xm:f>List!$A$2:$A$11</xm:f>
          </x14:formula1>
          <xm:sqref>O33 O18 O35:O37 O29:O31 O20:O27 O15:O16 O7:O9 O11:O13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4506668294322"/>
    <pageSetUpPr fitToPage="1"/>
  </sheetPr>
  <dimension ref="A1:R43"/>
  <sheetViews>
    <sheetView showGridLines="0" topLeftCell="A3" zoomScale="70" zoomScaleNormal="70" zoomScalePageLayoutView="84" workbookViewId="0">
      <selection activeCell="H13" sqref="H13:K13"/>
    </sheetView>
  </sheetViews>
  <sheetFormatPr defaultColWidth="8.625" defaultRowHeight="30" customHeight="1"/>
  <cols>
    <col min="1" max="2" width="5.625" customWidth="1"/>
    <col min="3" max="3" width="2.625" customWidth="1"/>
    <col min="4" max="4" width="24.625" customWidth="1"/>
    <col min="5" max="10" width="12.625" customWidth="1"/>
    <col min="11" max="11" width="24.625" customWidth="1"/>
    <col min="12" max="12" width="2.625" customWidth="1"/>
    <col min="13" max="13" width="5.625" style="1" customWidth="1"/>
    <col min="14" max="14" width="75.5" style="2" customWidth="1"/>
    <col min="15" max="15" width="28.625" style="2" customWidth="1"/>
    <col min="16" max="16" width="78.875" style="3" customWidth="1"/>
    <col min="17" max="17" width="9.625" style="3" customWidth="1"/>
    <col min="18" max="18" width="5.625" customWidth="1"/>
  </cols>
  <sheetData>
    <row r="1" spans="1:18" ht="30" customHeight="1">
      <c r="A1" s="66"/>
      <c r="B1" s="66"/>
      <c r="C1" s="66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30" customHeight="1" thickBot="1">
      <c r="A2" s="66"/>
      <c r="D2" s="6"/>
      <c r="E2" s="6"/>
      <c r="F2" s="6"/>
      <c r="G2" s="6"/>
      <c r="H2" s="6"/>
      <c r="I2" s="6"/>
      <c r="J2" s="6"/>
      <c r="K2" s="6"/>
      <c r="N2" s="103"/>
      <c r="O2" s="106"/>
      <c r="P2" s="40"/>
      <c r="Q2" s="40"/>
      <c r="R2" s="66"/>
    </row>
    <row r="3" spans="1:18" ht="30" customHeight="1" thickTop="1" thickBot="1">
      <c r="A3" s="66"/>
      <c r="C3" s="7"/>
      <c r="D3" s="8"/>
      <c r="K3" s="8"/>
      <c r="L3" s="28"/>
      <c r="N3" s="41"/>
      <c r="O3" s="107"/>
      <c r="P3" s="42"/>
      <c r="Q3" s="140"/>
      <c r="R3" s="66"/>
    </row>
    <row r="4" spans="1:18" ht="35.1" customHeight="1" thickTop="1">
      <c r="A4" s="66"/>
      <c r="C4" s="9"/>
      <c r="D4" s="10" t="s">
        <v>23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Q4" s="141"/>
      <c r="R4" s="66"/>
    </row>
    <row r="5" spans="1:18" ht="30" customHeight="1">
      <c r="A5" s="68"/>
      <c r="B5" s="12"/>
      <c r="C5" s="13"/>
      <c r="D5" s="195">
        <f ca="1">CalendarYear</f>
        <v>2026</v>
      </c>
      <c r="E5" s="27">
        <f ca="1">IF(DAY(OctSun1)=1,OctSun1-6,OctSun1+1)</f>
        <v>46293</v>
      </c>
      <c r="F5" s="27">
        <f ca="1">IF(DAY(OctSun1)=1,OctSun1-5,OctSun1+2)</f>
        <v>46294</v>
      </c>
      <c r="G5" s="27">
        <f ca="1">IF(DAY(OctSun1)=1,OctSun1-4,OctSun1+3)</f>
        <v>46295</v>
      </c>
      <c r="H5" s="27">
        <f ca="1">IF(DAY(OctSun1)=1,OctSun1-3,OctSun1+4)</f>
        <v>46296</v>
      </c>
      <c r="I5" s="27">
        <f ca="1">IF(DAY(OctSun1)=1,OctSun1-2,OctSun1+5)</f>
        <v>46297</v>
      </c>
      <c r="J5" s="27">
        <f ca="1">IF(DAY(OctSun1)=1,OctSun1-1,OctSun1+6)</f>
        <v>46298</v>
      </c>
      <c r="K5" s="27">
        <f ca="1">IF(DAY(OctSun1)=1,OctSun1,OctSun1+7)</f>
        <v>46299</v>
      </c>
      <c r="L5" s="30"/>
      <c r="M5" s="45"/>
      <c r="N5" s="46"/>
      <c r="O5" s="109"/>
      <c r="P5" s="47"/>
      <c r="Q5" s="140"/>
      <c r="R5" s="66"/>
    </row>
    <row r="6" spans="1:18" ht="30" customHeight="1">
      <c r="A6" s="68"/>
      <c r="B6" s="12"/>
      <c r="C6" s="13"/>
      <c r="D6" s="195"/>
      <c r="E6" s="27">
        <f ca="1">IF(DAY(OctSun1)=1,OctSun1+1,OctSun1+8)</f>
        <v>46300</v>
      </c>
      <c r="F6" s="27">
        <f ca="1">IF(DAY(OctSun1)=1,OctSun1+2,OctSun1+9)</f>
        <v>46301</v>
      </c>
      <c r="G6" s="27">
        <f ca="1">IF(DAY(OctSun1)=1,OctSun1+3,OctSun1+10)</f>
        <v>46302</v>
      </c>
      <c r="H6" s="27">
        <f ca="1">IF(DAY(OctSun1)=1,OctSun1+4,OctSun1+11)</f>
        <v>46303</v>
      </c>
      <c r="I6" s="27">
        <f ca="1">IF(DAY(OctSun1)=1,OctSun1+5,OctSun1+12)</f>
        <v>46304</v>
      </c>
      <c r="J6" s="27">
        <f ca="1">IF(DAY(OctSun1)=1,OctSun1+6,OctSun1+13)</f>
        <v>46305</v>
      </c>
      <c r="K6" s="27">
        <f ca="1">IF(DAY(OctSun1)=1,OctSun1+7,OctSun1+14)</f>
        <v>46306</v>
      </c>
      <c r="L6" s="30"/>
      <c r="M6" s="48"/>
      <c r="N6" s="179" t="s">
        <v>50</v>
      </c>
      <c r="O6" s="110" t="s">
        <v>25</v>
      </c>
      <c r="P6" s="111" t="s">
        <v>14</v>
      </c>
      <c r="Q6" s="142"/>
      <c r="R6" s="66"/>
    </row>
    <row r="7" spans="1:18" ht="30" customHeight="1">
      <c r="A7" s="68"/>
      <c r="B7" s="12"/>
      <c r="C7" s="13"/>
      <c r="D7" s="14"/>
      <c r="E7" s="27">
        <f ca="1">IF(DAY(OctSun1)=1,OctSun1+8,OctSun1+15)</f>
        <v>46307</v>
      </c>
      <c r="F7" s="27">
        <f ca="1">IF(DAY(OctSun1)=1,OctSun1+9,OctSun1+16)</f>
        <v>46308</v>
      </c>
      <c r="G7" s="27">
        <f ca="1">IF(DAY(OctSun1)=1,OctSun1+10,OctSun1+17)</f>
        <v>46309</v>
      </c>
      <c r="H7" s="27">
        <f ca="1">IF(DAY(OctSun1)=1,OctSun1+11,OctSun1+18)</f>
        <v>46310</v>
      </c>
      <c r="I7" s="27">
        <f ca="1">IF(DAY(OctSun1)=1,OctSun1+12,OctSun1+19)</f>
        <v>46311</v>
      </c>
      <c r="J7" s="27">
        <f ca="1">IF(DAY(OctSun1)=1,OctSun1+13,OctSun1+20)</f>
        <v>46312</v>
      </c>
      <c r="K7" s="27">
        <f ca="1">IF(DAY(OctSun1)=1,OctSun1+14,OctSun1+21)</f>
        <v>46313</v>
      </c>
      <c r="L7" s="30"/>
      <c r="M7" s="48"/>
      <c r="N7" s="89" t="s">
        <v>51</v>
      </c>
      <c r="O7" s="190" t="s">
        <v>31</v>
      </c>
      <c r="P7" s="192" t="s">
        <v>57</v>
      </c>
      <c r="Q7" s="143"/>
      <c r="R7" s="66"/>
    </row>
    <row r="8" spans="1:18" ht="30" customHeight="1">
      <c r="A8" s="68"/>
      <c r="B8" s="12"/>
      <c r="C8" s="13"/>
      <c r="D8" s="14"/>
      <c r="E8" s="27">
        <f ca="1">IF(DAY(OctSun1)=1,OctSun1+15,OctSun1+22)</f>
        <v>46314</v>
      </c>
      <c r="F8" s="27">
        <f ca="1">IF(DAY(OctSun1)=1,OctSun1+16,OctSun1+23)</f>
        <v>46315</v>
      </c>
      <c r="G8" s="27">
        <f ca="1">IF(DAY(OctSun1)=1,OctSun1+17,OctSun1+24)</f>
        <v>46316</v>
      </c>
      <c r="H8" s="27">
        <f ca="1">IF(DAY(OctSun1)=1,OctSun1+18,OctSun1+25)</f>
        <v>46317</v>
      </c>
      <c r="I8" s="27">
        <f ca="1">IF(DAY(OctSun1)=1,OctSun1+19,OctSun1+26)</f>
        <v>46318</v>
      </c>
      <c r="J8" s="27">
        <f ca="1">IF(DAY(OctSun1)=1,OctSun1+20,OctSun1+27)</f>
        <v>46319</v>
      </c>
      <c r="K8" s="27">
        <f ca="1">IF(DAY(OctSun1)=1,OctSun1+21,OctSun1+28)</f>
        <v>46320</v>
      </c>
      <c r="L8" s="30"/>
      <c r="M8" s="48"/>
      <c r="N8" s="176" t="s">
        <v>28</v>
      </c>
      <c r="O8" s="184"/>
      <c r="P8" s="104"/>
      <c r="Q8" s="144"/>
      <c r="R8" s="66"/>
    </row>
    <row r="9" spans="1:18" ht="30" customHeight="1">
      <c r="A9" s="68"/>
      <c r="B9" s="12"/>
      <c r="C9" s="13"/>
      <c r="D9" s="14"/>
      <c r="E9" s="27">
        <f ca="1">IF(DAY(OctSun1)=1,OctSun1+22,OctSun1+29)</f>
        <v>46321</v>
      </c>
      <c r="F9" s="27">
        <f ca="1">IF(DAY(OctSun1)=1,OctSun1+23,OctSun1+30)</f>
        <v>46322</v>
      </c>
      <c r="G9" s="27">
        <f ca="1">IF(DAY(OctSun1)=1,OctSun1+24,OctSun1+31)</f>
        <v>46323</v>
      </c>
      <c r="H9" s="27">
        <f ca="1">IF(DAY(OctSun1)=1,OctSun1+25,OctSun1+32)</f>
        <v>46324</v>
      </c>
      <c r="I9" s="188">
        <f ca="1">IF(DAY(OctSun1)=1,OctSun1+26,OctSun1+33)</f>
        <v>46325</v>
      </c>
      <c r="J9" s="27">
        <f ca="1">IF(DAY(OctSun1)=1,OctSun1+27,OctSun1+34)</f>
        <v>46326</v>
      </c>
      <c r="K9" s="27">
        <f ca="1">IF(DAY(OctSun1)=1,OctSun1+28,OctSun1+35)</f>
        <v>46327</v>
      </c>
      <c r="L9" s="30"/>
      <c r="M9" s="52"/>
      <c r="N9" s="50"/>
      <c r="O9" s="160" t="s">
        <v>26</v>
      </c>
      <c r="P9" s="177" t="s">
        <v>61</v>
      </c>
      <c r="Q9" s="145"/>
      <c r="R9" s="66"/>
    </row>
    <row r="10" spans="1:18" ht="30" customHeight="1">
      <c r="A10" s="68"/>
      <c r="B10" s="12"/>
      <c r="C10" s="13"/>
      <c r="D10" s="14"/>
      <c r="E10" s="27">
        <f ca="1">IF(DAY(OctSun1)=1,OctSun1+29,OctSun1+36)</f>
        <v>46328</v>
      </c>
      <c r="F10" s="27">
        <f ca="1">IF(DAY(OctSun1)=1,OctSun1+30,OctSun1+37)</f>
        <v>46329</v>
      </c>
      <c r="G10" s="27">
        <f ca="1">IF(DAY(OctSun1)=1,OctSun1+31,OctSun1+38)</f>
        <v>46330</v>
      </c>
      <c r="H10" s="27">
        <f ca="1">IF(DAY(OctSun1)=1,OctSun1+32,OctSun1+39)</f>
        <v>46331</v>
      </c>
      <c r="I10" s="27">
        <f ca="1">IF(DAY(OctSun1)=1,OctSun1+33,OctSun1+40)</f>
        <v>46332</v>
      </c>
      <c r="J10" s="27">
        <f ca="1">IF(DAY(OctSun1)=1,OctSun1+34,OctSun1+41)</f>
        <v>46333</v>
      </c>
      <c r="K10" s="27">
        <f ca="1">IF(DAY(OctSun1)=1,OctSun1+35,OctSun1+42)</f>
        <v>46334</v>
      </c>
      <c r="L10" s="31"/>
      <c r="M10" s="48"/>
      <c r="N10" s="51"/>
      <c r="O10" s="184"/>
      <c r="P10" s="104"/>
      <c r="Q10" s="146"/>
      <c r="R10" s="66"/>
    </row>
    <row r="11" spans="1:18" ht="30" customHeight="1" thickBot="1">
      <c r="A11" s="68"/>
      <c r="B11" s="12"/>
      <c r="C11" s="15"/>
      <c r="D11" s="6"/>
      <c r="K11" s="6"/>
      <c r="L11" s="32"/>
      <c r="M11" s="53"/>
      <c r="N11" s="51"/>
      <c r="O11" s="116"/>
      <c r="P11" s="58" t="s">
        <v>64</v>
      </c>
      <c r="Q11" s="146"/>
      <c r="R11" s="66"/>
    </row>
    <row r="12" spans="1:18" ht="30" customHeight="1" thickTop="1">
      <c r="A12" s="68"/>
      <c r="B12" s="12"/>
      <c r="C12" s="12"/>
      <c r="D12" s="16"/>
      <c r="E12" s="8"/>
      <c r="F12" s="8"/>
      <c r="G12" s="8"/>
      <c r="H12" s="8"/>
      <c r="I12" s="8"/>
      <c r="J12" s="8"/>
      <c r="K12" s="8"/>
      <c r="N12" s="54"/>
      <c r="O12" s="184"/>
      <c r="P12" s="104"/>
      <c r="Q12" s="147"/>
      <c r="R12" s="66"/>
    </row>
    <row r="13" spans="1:18" ht="30" customHeight="1">
      <c r="A13" s="68"/>
      <c r="B13" s="12"/>
      <c r="C13" s="12"/>
      <c r="H13" s="196"/>
      <c r="I13" s="196"/>
      <c r="J13" s="196"/>
      <c r="K13" s="196"/>
      <c r="L13" s="33"/>
      <c r="N13" s="54"/>
      <c r="O13" s="184"/>
      <c r="P13" s="58" t="s">
        <v>69</v>
      </c>
      <c r="Q13" s="148"/>
      <c r="R13" s="66"/>
    </row>
    <row r="14" spans="1:18" ht="37.5" customHeight="1">
      <c r="A14" s="68"/>
      <c r="B14" s="12"/>
      <c r="C14" s="12"/>
      <c r="D14" s="120"/>
      <c r="F14" s="119"/>
      <c r="G14" s="17"/>
      <c r="H14" s="196"/>
      <c r="I14" s="196"/>
      <c r="J14" s="196"/>
      <c r="K14" s="196"/>
      <c r="L14" s="33"/>
      <c r="M14" s="55"/>
      <c r="N14" s="50"/>
      <c r="O14" s="187"/>
      <c r="P14" s="186"/>
      <c r="Q14" s="148"/>
      <c r="R14" s="66"/>
    </row>
    <row r="15" spans="1:18" ht="30" customHeight="1">
      <c r="A15" s="68"/>
      <c r="B15" s="17"/>
      <c r="C15" s="119"/>
      <c r="D15" s="17"/>
      <c r="E15" s="17"/>
      <c r="F15" s="119"/>
      <c r="G15" s="17"/>
      <c r="H15" s="119"/>
      <c r="I15" s="17"/>
      <c r="J15" s="119"/>
      <c r="K15" s="17"/>
      <c r="L15" s="119"/>
      <c r="M15" s="17"/>
      <c r="N15" s="51"/>
      <c r="O15" s="116"/>
      <c r="P15" s="58"/>
      <c r="Q15" s="147"/>
      <c r="R15" s="66"/>
    </row>
    <row r="16" spans="1:18" ht="30" customHeight="1">
      <c r="A16" s="69"/>
      <c r="B16" s="17"/>
      <c r="C16" s="119"/>
      <c r="D16" s="17"/>
      <c r="E16" s="17"/>
      <c r="F16" s="119"/>
      <c r="G16" s="17"/>
      <c r="H16" s="119"/>
      <c r="I16" s="17"/>
      <c r="J16" s="119"/>
      <c r="K16" s="17"/>
      <c r="L16" s="119"/>
      <c r="M16" s="17"/>
      <c r="N16" s="105"/>
      <c r="O16" s="184"/>
      <c r="P16" s="104"/>
      <c r="Q16" s="144"/>
      <c r="R16" s="66"/>
    </row>
    <row r="17" spans="1:18" ht="26.1" customHeight="1">
      <c r="A17" s="69"/>
      <c r="B17" s="17"/>
      <c r="C17" s="119"/>
      <c r="D17" s="17"/>
      <c r="E17" s="17"/>
      <c r="F17" s="119"/>
      <c r="G17" s="17"/>
      <c r="H17" s="119"/>
      <c r="I17" s="17"/>
      <c r="J17" s="119"/>
      <c r="K17" s="17"/>
      <c r="L17" s="119"/>
      <c r="M17" s="17"/>
      <c r="N17" s="54"/>
      <c r="O17" s="184"/>
      <c r="P17" s="104"/>
      <c r="Q17" s="144"/>
      <c r="R17" s="66"/>
    </row>
    <row r="18" spans="1:18" ht="30" customHeight="1">
      <c r="A18" s="69"/>
      <c r="B18" s="17"/>
      <c r="C18" s="119"/>
      <c r="D18" s="17"/>
      <c r="E18" s="17"/>
      <c r="F18" s="119"/>
      <c r="G18" s="17"/>
      <c r="H18" s="119"/>
      <c r="I18" s="17"/>
      <c r="J18" s="119"/>
      <c r="K18" s="17"/>
      <c r="L18" s="119"/>
      <c r="M18" s="17"/>
      <c r="N18" s="50"/>
      <c r="O18" s="197"/>
      <c r="P18" s="198"/>
      <c r="Q18" s="142"/>
      <c r="R18" s="66"/>
    </row>
    <row r="19" spans="1:18" ht="30" customHeight="1">
      <c r="A19" s="69"/>
      <c r="B19" s="17"/>
      <c r="C19" s="119"/>
      <c r="D19" s="17"/>
      <c r="E19" s="17"/>
      <c r="F19" s="119"/>
      <c r="G19" s="17"/>
      <c r="H19" s="119"/>
      <c r="I19" s="17"/>
      <c r="J19" s="119"/>
      <c r="K19" s="17"/>
      <c r="L19" s="119"/>
      <c r="M19" s="17"/>
      <c r="N19" s="54"/>
      <c r="O19" s="197"/>
      <c r="P19" s="199"/>
      <c r="Q19" s="143"/>
      <c r="R19" s="66"/>
    </row>
    <row r="20" spans="1:18" ht="30" customHeight="1">
      <c r="A20" s="69"/>
      <c r="B20" s="17"/>
      <c r="C20" s="119"/>
      <c r="D20" s="17"/>
      <c r="E20" s="17"/>
      <c r="F20" s="119"/>
      <c r="G20" s="17"/>
      <c r="H20" s="119"/>
      <c r="I20" s="17"/>
      <c r="J20" s="119"/>
      <c r="K20" s="17"/>
      <c r="L20" s="119"/>
      <c r="M20" s="17"/>
      <c r="N20" s="50"/>
      <c r="O20" s="116"/>
      <c r="P20" s="58"/>
      <c r="Q20" s="144"/>
      <c r="R20" s="66"/>
    </row>
    <row r="21" spans="1:18" ht="39.950000000000003" customHeight="1">
      <c r="A21" s="69"/>
      <c r="B21" s="17"/>
      <c r="C21" s="119"/>
      <c r="D21" s="17"/>
      <c r="E21" s="193"/>
      <c r="F21" s="193"/>
      <c r="G21" s="193"/>
      <c r="H21" s="193"/>
      <c r="I21" s="193"/>
      <c r="J21" s="193"/>
      <c r="K21" s="193"/>
      <c r="L21" s="193"/>
      <c r="M21" s="22"/>
      <c r="N21" s="54"/>
      <c r="O21" s="160"/>
      <c r="P21" s="58"/>
      <c r="Q21" s="145"/>
      <c r="R21" s="66"/>
    </row>
    <row r="22" spans="1:18" ht="44.1" customHeight="1">
      <c r="A22" s="69"/>
      <c r="B22" s="17"/>
      <c r="C22" s="119"/>
      <c r="D22" s="17"/>
      <c r="E22" s="194"/>
      <c r="F22" s="194"/>
      <c r="G22" s="194"/>
      <c r="H22" s="194"/>
      <c r="I22" s="194"/>
      <c r="J22" s="194"/>
      <c r="K22" s="17"/>
      <c r="L22" s="119"/>
      <c r="M22" s="17"/>
      <c r="N22" s="50"/>
      <c r="O22" s="113"/>
      <c r="P22" s="161"/>
      <c r="Q22" s="146"/>
      <c r="R22" s="66"/>
    </row>
    <row r="23" spans="1:18" ht="30" customHeight="1">
      <c r="A23" s="69"/>
      <c r="B23" s="17"/>
      <c r="C23" s="119"/>
      <c r="D23" s="17"/>
      <c r="E23" s="193"/>
      <c r="F23" s="193"/>
      <c r="G23" s="193"/>
      <c r="H23" s="193"/>
      <c r="I23" s="193"/>
      <c r="J23" s="193"/>
      <c r="K23" s="193"/>
      <c r="L23" s="193"/>
      <c r="M23" s="22"/>
      <c r="N23" s="54"/>
      <c r="P23" s="161"/>
      <c r="Q23" s="146"/>
      <c r="R23" s="66"/>
    </row>
    <row r="24" spans="1:18" ht="30" customHeight="1">
      <c r="A24" s="69"/>
      <c r="B24" s="17"/>
      <c r="C24" s="119"/>
      <c r="D24" s="17"/>
      <c r="E24" s="194"/>
      <c r="F24" s="194"/>
      <c r="G24" s="194"/>
      <c r="H24" s="194"/>
      <c r="I24" s="194"/>
      <c r="J24" s="194"/>
      <c r="K24" s="17"/>
      <c r="L24" s="119"/>
      <c r="M24" s="17"/>
      <c r="N24" s="51"/>
      <c r="O24" s="113"/>
      <c r="P24" s="118"/>
      <c r="Q24" s="147"/>
      <c r="R24" s="66"/>
    </row>
    <row r="25" spans="1:18" ht="30" customHeight="1">
      <c r="A25" s="69"/>
      <c r="B25" s="193"/>
      <c r="C25" s="193"/>
      <c r="D25" s="22"/>
      <c r="E25" s="193"/>
      <c r="F25" s="193"/>
      <c r="G25" s="193"/>
      <c r="H25" s="193"/>
      <c r="I25" s="193"/>
      <c r="J25" s="193"/>
      <c r="K25" s="193"/>
      <c r="L25" s="193"/>
      <c r="M25" s="22"/>
      <c r="N25" s="54"/>
      <c r="O25" s="116"/>
      <c r="P25" s="118"/>
      <c r="Q25" s="148"/>
      <c r="R25" s="66"/>
    </row>
    <row r="26" spans="1:18" ht="32.1" customHeight="1">
      <c r="A26" s="69"/>
      <c r="B26" s="193"/>
      <c r="C26" s="193"/>
      <c r="D26" s="22"/>
      <c r="E26" s="194"/>
      <c r="F26" s="194"/>
      <c r="G26" s="194"/>
      <c r="H26" s="194"/>
      <c r="I26" s="194"/>
      <c r="J26" s="194"/>
      <c r="K26" s="194"/>
      <c r="L26" s="194"/>
      <c r="M26" s="17"/>
      <c r="N26" s="50"/>
      <c r="O26" s="116"/>
      <c r="P26" s="118"/>
      <c r="Q26" s="148"/>
      <c r="R26" s="66"/>
    </row>
    <row r="27" spans="1:18" ht="47.1" customHeight="1">
      <c r="A27" s="69"/>
      <c r="B27" s="193"/>
      <c r="C27" s="193"/>
      <c r="D27" s="22"/>
      <c r="E27" s="193"/>
      <c r="F27" s="193"/>
      <c r="G27" s="193"/>
      <c r="H27" s="193"/>
      <c r="I27" s="193"/>
      <c r="J27" s="193"/>
      <c r="K27" s="193"/>
      <c r="L27" s="193"/>
      <c r="M27" s="22"/>
      <c r="N27" s="114"/>
      <c r="O27" s="113"/>
      <c r="P27" s="104"/>
      <c r="Q27" s="143"/>
      <c r="R27" s="66"/>
    </row>
    <row r="28" spans="1:18" ht="45" customHeight="1">
      <c r="A28" s="69"/>
      <c r="B28" s="193"/>
      <c r="C28" s="193"/>
      <c r="D28" s="22"/>
      <c r="E28" s="194"/>
      <c r="F28" s="194"/>
      <c r="G28" s="194"/>
      <c r="H28" s="194"/>
      <c r="I28" s="194"/>
      <c r="J28" s="194"/>
      <c r="K28" s="194"/>
      <c r="L28" s="194"/>
      <c r="N28" s="50"/>
      <c r="O28" s="162"/>
      <c r="P28" s="113"/>
      <c r="Q28" s="142"/>
      <c r="R28" s="66"/>
    </row>
    <row r="29" spans="1:18" ht="30" customHeight="1">
      <c r="A29" s="69"/>
      <c r="B29" s="193"/>
      <c r="C29" s="193"/>
      <c r="D29" s="22"/>
      <c r="E29" s="193"/>
      <c r="F29" s="193"/>
      <c r="G29" s="193"/>
      <c r="H29" s="193"/>
      <c r="I29" s="193"/>
      <c r="J29" s="193"/>
      <c r="K29" s="193"/>
      <c r="L29" s="193"/>
      <c r="N29" s="51"/>
      <c r="O29" s="113"/>
      <c r="P29" s="104"/>
      <c r="Q29" s="143"/>
      <c r="R29" s="66"/>
    </row>
    <row r="30" spans="1:18" ht="30" customHeight="1">
      <c r="A30" s="69"/>
      <c r="B30" s="193"/>
      <c r="C30" s="193"/>
      <c r="D30" s="22"/>
      <c r="E30" s="194"/>
      <c r="F30" s="194"/>
      <c r="G30" s="194"/>
      <c r="H30" s="194"/>
      <c r="I30" s="194"/>
      <c r="J30" s="194"/>
      <c r="K30" s="194"/>
      <c r="L30" s="194"/>
      <c r="N30" s="114"/>
      <c r="O30" s="113"/>
      <c r="P30" s="104"/>
      <c r="Q30" s="143"/>
      <c r="R30" s="66"/>
    </row>
    <row r="31" spans="1:18" ht="30" customHeight="1">
      <c r="A31" s="69"/>
      <c r="B31" s="193"/>
      <c r="C31" s="193"/>
      <c r="D31" s="22"/>
      <c r="E31" s="193"/>
      <c r="F31" s="193"/>
      <c r="G31" s="193"/>
      <c r="H31" s="193"/>
      <c r="I31" s="193"/>
      <c r="J31" s="193"/>
      <c r="K31" s="193"/>
      <c r="L31" s="193"/>
      <c r="N31" s="50"/>
      <c r="O31" s="160"/>
      <c r="P31" s="104"/>
      <c r="Q31" s="144"/>
      <c r="R31" s="66"/>
    </row>
    <row r="32" spans="1:18" ht="30" customHeight="1">
      <c r="A32" s="69"/>
      <c r="B32" s="193"/>
      <c r="C32" s="193"/>
      <c r="D32" s="22"/>
      <c r="E32" s="194"/>
      <c r="F32" s="194"/>
      <c r="G32" s="194"/>
      <c r="H32" s="194"/>
      <c r="I32" s="194"/>
      <c r="J32" s="194"/>
      <c r="K32" s="194"/>
      <c r="L32" s="194"/>
      <c r="N32" s="51"/>
      <c r="O32" s="160"/>
      <c r="P32" s="104"/>
      <c r="Q32" s="144"/>
      <c r="R32" s="66"/>
    </row>
    <row r="33" spans="1:18" ht="30" customHeight="1">
      <c r="A33" s="69"/>
      <c r="B33" s="193"/>
      <c r="C33" s="193"/>
      <c r="D33" s="22"/>
      <c r="E33" s="193"/>
      <c r="F33" s="193"/>
      <c r="G33" s="193"/>
      <c r="H33" s="193"/>
      <c r="I33" s="193"/>
      <c r="J33" s="193"/>
      <c r="K33" s="193"/>
      <c r="L33" s="193"/>
      <c r="N33" s="114"/>
      <c r="O33" s="113"/>
      <c r="P33" s="118"/>
      <c r="Q33" s="148"/>
      <c r="R33" s="66"/>
    </row>
    <row r="34" spans="1:18" ht="30" customHeight="1">
      <c r="A34" s="69"/>
      <c r="B34" s="193"/>
      <c r="C34" s="193"/>
      <c r="D34" s="22"/>
      <c r="E34" s="194"/>
      <c r="F34" s="194"/>
      <c r="G34" s="194"/>
      <c r="H34" s="194"/>
      <c r="I34" s="194"/>
      <c r="J34" s="194"/>
      <c r="K34" s="194"/>
      <c r="L34" s="194"/>
      <c r="N34" s="50"/>
      <c r="O34" s="113"/>
      <c r="P34" s="118"/>
      <c r="Q34" s="148"/>
      <c r="R34" s="66"/>
    </row>
    <row r="35" spans="1:18" ht="30" customHeight="1">
      <c r="A35" s="69"/>
      <c r="B35" s="193"/>
      <c r="C35" s="193"/>
      <c r="D35" s="22"/>
      <c r="E35" s="193"/>
      <c r="F35" s="193"/>
      <c r="G35" s="193"/>
      <c r="H35" s="193"/>
      <c r="I35" s="193"/>
      <c r="J35" s="193"/>
      <c r="K35" s="193"/>
      <c r="L35" s="193"/>
      <c r="N35" s="54"/>
      <c r="O35" s="116"/>
      <c r="P35" s="118"/>
      <c r="Q35" s="148"/>
      <c r="R35" s="66"/>
    </row>
    <row r="36" spans="1:18" ht="30" customHeight="1">
      <c r="A36" s="69"/>
      <c r="B36" s="193"/>
      <c r="C36" s="193"/>
      <c r="D36" s="22"/>
      <c r="E36" s="194"/>
      <c r="F36" s="194"/>
      <c r="G36" s="194"/>
      <c r="H36" s="194"/>
      <c r="I36" s="194"/>
      <c r="J36" s="194"/>
      <c r="K36" s="194"/>
      <c r="L36" s="194"/>
      <c r="N36" s="50"/>
      <c r="O36" s="116"/>
      <c r="P36" s="118"/>
      <c r="Q36" s="148"/>
      <c r="R36" s="66"/>
    </row>
    <row r="37" spans="1:18" ht="30" customHeight="1">
      <c r="A37" s="69"/>
      <c r="B37" s="193"/>
      <c r="C37" s="193"/>
      <c r="D37" s="22"/>
      <c r="E37" s="194"/>
      <c r="F37" s="194"/>
      <c r="G37" s="194"/>
      <c r="H37" s="194"/>
      <c r="I37" s="194"/>
      <c r="J37" s="194"/>
      <c r="K37" s="193"/>
      <c r="L37" s="193"/>
      <c r="N37" s="51"/>
      <c r="O37" s="116"/>
      <c r="P37" s="104"/>
      <c r="Q37" s="143"/>
      <c r="R37" s="66"/>
    </row>
    <row r="38" spans="1:18" ht="30" customHeight="1">
      <c r="A38" s="66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22"/>
      <c r="N38" s="50"/>
      <c r="O38" s="112"/>
      <c r="P38" s="58"/>
      <c r="Q38" s="149"/>
      <c r="R38" s="66"/>
    </row>
    <row r="39" spans="1:18" ht="30" customHeight="1" thickBot="1">
      <c r="A39" s="66"/>
      <c r="B39" s="193"/>
      <c r="C39" s="193"/>
      <c r="D39" s="193"/>
      <c r="E39" s="193"/>
      <c r="F39" s="194"/>
      <c r="G39" s="194"/>
      <c r="H39" s="194"/>
      <c r="I39" s="194"/>
      <c r="J39" s="194"/>
      <c r="K39" s="194"/>
      <c r="L39" s="185"/>
      <c r="N39" s="61"/>
      <c r="O39" s="112"/>
      <c r="P39" s="58"/>
      <c r="Q39" s="149"/>
      <c r="R39" s="66"/>
    </row>
    <row r="40" spans="1:18" ht="30" customHeight="1" thickTop="1" thickBot="1">
      <c r="A40" s="66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22"/>
      <c r="N40" s="60"/>
      <c r="O40" s="112"/>
      <c r="P40" s="58"/>
      <c r="Q40" s="149"/>
      <c r="R40" s="66"/>
    </row>
    <row r="41" spans="1:18" ht="30" customHeight="1" thickTop="1" thickBot="1">
      <c r="A41" s="66"/>
      <c r="B41" s="193"/>
      <c r="C41" s="193"/>
      <c r="D41" s="193"/>
      <c r="E41" s="193"/>
      <c r="F41" s="194"/>
      <c r="G41" s="194"/>
      <c r="H41" s="194"/>
      <c r="I41" s="194"/>
      <c r="J41" s="194"/>
      <c r="K41" s="194"/>
      <c r="L41" s="185"/>
      <c r="N41" s="76"/>
      <c r="O41" s="117"/>
      <c r="P41" s="70"/>
      <c r="Q41" s="149"/>
      <c r="R41" s="66"/>
    </row>
    <row r="42" spans="1:18" ht="30" customHeight="1" thickTop="1">
      <c r="A42" s="66"/>
      <c r="R42" s="66"/>
    </row>
    <row r="43" spans="1:18" ht="30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</row>
  </sheetData>
  <mergeCells count="106">
    <mergeCell ref="O18:O19"/>
    <mergeCell ref="P18:P19"/>
    <mergeCell ref="K21:L21"/>
    <mergeCell ref="K23:L23"/>
    <mergeCell ref="K25:L25"/>
    <mergeCell ref="E29:F29"/>
    <mergeCell ref="G29:H29"/>
    <mergeCell ref="I29:J29"/>
    <mergeCell ref="I30:J30"/>
    <mergeCell ref="H13:I13"/>
    <mergeCell ref="J13:K13"/>
    <mergeCell ref="H14:I14"/>
    <mergeCell ref="J14:K14"/>
    <mergeCell ref="G27:H27"/>
    <mergeCell ref="I27:J27"/>
    <mergeCell ref="D5:D6"/>
    <mergeCell ref="E36:F36"/>
    <mergeCell ref="G36:H36"/>
    <mergeCell ref="I36:J36"/>
    <mergeCell ref="E34:F34"/>
    <mergeCell ref="G34:H34"/>
    <mergeCell ref="I34:J34"/>
    <mergeCell ref="E35:F35"/>
    <mergeCell ref="G35:H35"/>
    <mergeCell ref="E33:F33"/>
    <mergeCell ref="G33:H33"/>
    <mergeCell ref="I33:J33"/>
    <mergeCell ref="E30:F30"/>
    <mergeCell ref="G30:H30"/>
    <mergeCell ref="I35:J35"/>
    <mergeCell ref="E32:F32"/>
    <mergeCell ref="G32:H32"/>
    <mergeCell ref="I32:J32"/>
    <mergeCell ref="E31:F31"/>
    <mergeCell ref="G31:H31"/>
    <mergeCell ref="I31:J31"/>
    <mergeCell ref="E28:F28"/>
    <mergeCell ref="G28:H28"/>
    <mergeCell ref="I28:J28"/>
    <mergeCell ref="E21:F21"/>
    <mergeCell ref="G21:H21"/>
    <mergeCell ref="I21:J21"/>
    <mergeCell ref="E26:F26"/>
    <mergeCell ref="G26:H26"/>
    <mergeCell ref="I26:J26"/>
    <mergeCell ref="E27:F27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K31:L31"/>
    <mergeCell ref="K32:L32"/>
    <mergeCell ref="K33:L33"/>
    <mergeCell ref="K34:L34"/>
    <mergeCell ref="K35:L35"/>
    <mergeCell ref="K27:L27"/>
    <mergeCell ref="K26:L26"/>
    <mergeCell ref="K28:L28"/>
    <mergeCell ref="K29:L29"/>
    <mergeCell ref="K30:L30"/>
    <mergeCell ref="B34:C34"/>
    <mergeCell ref="B35:C35"/>
    <mergeCell ref="B36:C36"/>
    <mergeCell ref="B37:C37"/>
    <mergeCell ref="B38:C38"/>
    <mergeCell ref="B39:C39"/>
    <mergeCell ref="K36:L36"/>
    <mergeCell ref="K37:L37"/>
    <mergeCell ref="J38:K38"/>
    <mergeCell ref="D38:E38"/>
    <mergeCell ref="F38:G38"/>
    <mergeCell ref="H38:I38"/>
    <mergeCell ref="D39:E39"/>
    <mergeCell ref="E37:F37"/>
    <mergeCell ref="G37:H37"/>
    <mergeCell ref="I37:J37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D41:E41"/>
    <mergeCell ref="F41:G41"/>
    <mergeCell ref="H41:I41"/>
    <mergeCell ref="J41:K41"/>
    <mergeCell ref="B40:C40"/>
    <mergeCell ref="B41:C41"/>
    <mergeCell ref="F39:G39"/>
    <mergeCell ref="H39:I39"/>
    <mergeCell ref="J39:K39"/>
    <mergeCell ref="D40:E40"/>
    <mergeCell ref="F40:G40"/>
    <mergeCell ref="H40:I40"/>
    <mergeCell ref="J40:K40"/>
  </mergeCells>
  <conditionalFormatting sqref="E5:J5">
    <cfRule type="expression" dxfId="97" priority="127" stopIfTrue="1">
      <formula>DAY(E5)&gt;8</formula>
    </cfRule>
  </conditionalFormatting>
  <conditionalFormatting sqref="E5:K10">
    <cfRule type="expression" dxfId="96" priority="128">
      <formula>VLOOKUP(DAY(E5),$O:$O,1,FALSE)=DAY(E5)</formula>
    </cfRule>
  </conditionalFormatting>
  <conditionalFormatting sqref="E9:K10">
    <cfRule type="expression" dxfId="95" priority="126" stopIfTrue="1">
      <formula>AND(DAY(E9)&gt;=1,DAY(E9)&lt;=15)</formula>
    </cfRule>
  </conditionalFormatting>
  <conditionalFormatting sqref="K21:M21 E21:J25 K23:M23 K25:M25 B25:D37 E26:L37 M27 B38:L41">
    <cfRule type="expression" dxfId="94" priority="113">
      <formula>B21&lt;&gt;""</formula>
    </cfRule>
  </conditionalFormatting>
  <conditionalFormatting sqref="M6:M11">
    <cfRule type="expression" dxfId="93" priority="134">
      <formula>VLOOKUP(DAY(M6),AssignmentDays,1,FALSE)=DAY(M6)</formula>
    </cfRule>
  </conditionalFormatting>
  <conditionalFormatting sqref="M10:M11">
    <cfRule type="expression" dxfId="92" priority="133" stopIfTrue="1">
      <formula>AND(DAY(M10)&gt;=1,DAY(M10)&lt;=15)</formula>
    </cfRule>
  </conditionalFormatting>
  <dataValidations count="9">
    <dataValidation allowBlank="1" showInputMessage="1" showErrorMessage="1" prompt="October calendar. Calendar year is automatically updated based on cell D5 in Jan sheet." sqref="A1" xr:uid="{00000000-0002-0000-0B00-000000000000}"/>
    <dataValidation allowBlank="1" showInputMessage="1" showErrorMessage="1" prompt="Calendar automatically highlights assignment list entries for the month. Darker fonts are assignments. Lighter fonts are days that belong to the previous or next month" sqref="D4" xr:uid="{00000000-0002-0000-0B00-000001000000}"/>
    <dataValidation allowBlank="1" showInputMessage="1" showErrorMessage="1" prompt="Cells E4:K4 contain weekdays" sqref="E4" xr:uid="{00000000-0002-0000-0B00-000002000000}"/>
    <dataValidation allowBlank="1" showInputMessage="1" showErrorMessage="1" prompt="Enter the assignment details in this column that correspond to the weekday in column N and day in column O for the calendar month at left" sqref="N4:O4" xr:uid="{65621B9D-30AC-418B-A3EA-841BB907C97D}"/>
    <dataValidation allowBlank="1" showInputMessage="1" showErrorMessage="1" prompt="If this cell doesn’t contain the number 1, then it is a day from a previous month. Cells E5:K10 contain dates for the current month" sqref="E5" xr:uid="{00000000-0002-0000-0B00-000004000000}"/>
    <dataValidation allowBlank="1" showInputMessage="1" showErrorMessage="1" prompt="If this row contains a number less than the previous number or row of numbers, then this row contains dates for the next calendar month" sqref="E10" xr:uid="{00000000-0002-0000-0B00-000005000000}"/>
    <dataValidation allowBlank="1" showInputMessage="1" showErrorMessage="1" prompt="Day of the week goes in this row, starting in cell D16" sqref="A16" xr:uid="{00000000-0002-0000-0B00-000006000000}"/>
    <dataValidation allowBlank="1" showInputMessage="1" showErrorMessage="1" prompt="Weekdays are in this row, from Monday to Friday" sqref="D16" xr:uid="{3DE18C9C-A246-49F1-8EFF-6936EC1ADC03}"/>
    <dataValidation allowBlank="1" showInputMessage="1" showErrorMessage="1" prompt="Calendar year is automatically updated in this cell. To change the calendar year, to go cell D5 in Jan worksheet." sqref="D5:D6" xr:uid="{00000000-0002-0000-0B00-000008000000}"/>
  </dataValidations>
  <printOptions horizontalCentered="1" verticalCentered="1"/>
  <pageMargins left="0.25" right="0.25" top="0.5" bottom="0.5" header="0.3" footer="0.3"/>
  <pageSetup scale="47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5FE1EAF-E217-4F3A-B345-DB3274FF3E3B}">
            <xm:f>List!$A$8=O2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" id="{D50A1F56-5BF4-4924-BC02-8A1763C1C889}">
            <xm:f>List!$A$9=O2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3" id="{C941B932-A38A-4DEC-8B24-C5E2CED77195}">
            <xm:f>List!$A$7=O2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4" id="{5263EF3E-CCB0-4562-A4D0-36A34D7EF689}">
            <xm:f>List!$A$6=O2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5" id="{7E3D9FE4-1682-4BBB-B112-B504817400B5}">
            <xm:f>List!$A$5=O2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6" id="{E19129E2-A8C1-4D4C-8AF5-D09AC1B2A972}">
            <xm:f>List!$A$4=O2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7" id="{6654C43E-BD4E-4D56-8E3B-A46DE9C8A0D1}">
            <xm:f>List!$A$3=O2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8" id="{343D0549-958D-404C-A676-16C021409758}">
            <xm:f>List!$A$2=O2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O2:O12</xm:sqref>
        </x14:conditionalFormatting>
        <x14:conditionalFormatting xmlns:xm="http://schemas.microsoft.com/office/excel/2006/main">
          <x14:cfRule type="expression" priority="9" id="{5700D19D-F18E-48F5-8EC4-8FC7E9603C9B}">
            <xm:f>List!$A$8=O14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0" id="{7B6EDDA7-7F71-483F-BB17-DF9EE038B243}">
            <xm:f>List!$A$9=O14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1" id="{7107265A-BBD1-460C-985A-BBED5591B4D2}">
            <xm:f>List!$A$7=O14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12" id="{92EFE4FF-C4AF-4B4C-B0C3-C630602A16A5}">
            <xm:f>List!$A$6=O14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3" id="{6699AAAD-C375-464A-BD83-F28DF45C2B55}">
            <xm:f>List!$A$5=O14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14" id="{40A83E78-3F21-4070-B229-36D6514BDB98}">
            <xm:f>List!$A$4=O14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15" id="{EF036510-56F0-4219-83A6-5114FFD0F4F4}">
            <xm:f>List!$A$3=O14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6" id="{10651CF7-E51B-4327-9446-941DA5F4FE8B}">
            <xm:f>List!$A$2=O14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O14:O16</xm:sqref>
        </x14:conditionalFormatting>
        <x14:conditionalFormatting xmlns:xm="http://schemas.microsoft.com/office/excel/2006/main">
          <x14:cfRule type="expression" priority="89" id="{1423C7F4-E7BE-4303-964D-FCED3C1D6122}">
            <xm:f>List!$A$8=O18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90" id="{67F0FACF-8949-4710-AA50-95CC18133DD7}">
            <xm:f>List!$A$9=O18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91" id="{A156E389-EEC0-49C5-9840-72FF3F296278}">
            <xm:f>List!$A$7=O18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92" id="{AF62E655-8120-4547-8618-13B5B9941D1F}">
            <xm:f>List!$A$6=O18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93" id="{DA1E3828-80F3-4A5A-BF2D-8F04AA2D953C}">
            <xm:f>List!$A$5=O18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94" id="{287FABCF-F64E-46CD-AB7C-5C3189A0CBCC}">
            <xm:f>List!$A$4=O18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95" id="{5AE6B9F1-F080-43E0-B35A-1BA90529D2A2}">
            <xm:f>List!$A$3=O18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96" id="{5FD407A3-DC97-4560-A004-57A6C0C98C9E}">
            <xm:f>List!$A$2=O18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O18</xm:sqref>
        </x14:conditionalFormatting>
        <x14:conditionalFormatting xmlns:xm="http://schemas.microsoft.com/office/excel/2006/main">
          <x14:cfRule type="expression" priority="97" id="{9F7B8DD1-B8FB-4827-A812-9CCE9D11D8B2}">
            <xm:f>List!$A$8=O20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98" id="{DA863CA5-9831-4107-AD29-15475DE788F2}">
            <xm:f>List!$A$9=O20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99" id="{33C2FDEA-72E1-440A-BFDA-5A22CD137445}">
            <xm:f>List!$A$7=O20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100" id="{E3301D31-BF59-47B8-96CA-4F0A86E8635D}">
            <xm:f>List!$A$6=O20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01" id="{C6B1052A-0A49-45EE-B148-D18814C34192}">
            <xm:f>List!$A$5=O20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102" id="{88E03274-A19D-40C8-86E6-3BC7F48F8081}">
            <xm:f>List!$A$4=O20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103" id="{743F7BC0-7A19-4B3D-9194-68B4F486FDAC}">
            <xm:f>List!$A$3=O20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04" id="{3BCC4A02-690B-4F4E-9F93-FCA2D373117A}">
            <xm:f>List!$A$2=O20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O20:O22 O24:O25 P28</xm:sqref>
        </x14:conditionalFormatting>
        <x14:conditionalFormatting xmlns:xm="http://schemas.microsoft.com/office/excel/2006/main">
          <x14:cfRule type="expression" priority="114" id="{C44BE259-B924-4B57-B216-8FAD89641BFE}">
            <xm:f>List!$A$8=O27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15" id="{DF90F082-1C07-43A9-80F5-C4691C2E70A9}">
            <xm:f>List!$A$9=O27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16" id="{44A4FE30-B00E-4C31-8F88-1C8F551D8C5B}">
            <xm:f>List!$A$7=O27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117" id="{E2F29AC6-D14D-4CC9-8299-17AA163BEA39}">
            <xm:f>List!$A$6=O27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18" id="{00F8C5FC-E672-43FD-BFA5-E160EB86502B}">
            <xm:f>List!$A$5=O27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119" id="{A1F79D61-743C-4D4C-93B8-94C933D09981}">
            <xm:f>List!$A$4=O27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120" id="{E633EF36-D929-4768-9A85-26FBE2884149}">
            <xm:f>List!$A$3=O27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21" id="{EBDE76F1-BC29-47D1-81B9-EE7F4453D412}">
            <xm:f>List!$A$2=O27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O27:O31 O33 O35 O37:O42 O44:O1048576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215BE5-2A05-46D4-A5D1-DBCB46B74DC8}">
          <x14:formula1>
            <xm:f>List!$A$2:$A$11</xm:f>
          </x14:formula1>
          <xm:sqref>O11:O12 O35:O37 O29:O31 O33 O18 O24:O27 O9 O16 O14 P28 O20:O22 O7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4506668294322"/>
    <pageSetUpPr fitToPage="1"/>
  </sheetPr>
  <dimension ref="A1:R16"/>
  <sheetViews>
    <sheetView showGridLines="0" zoomScale="70" zoomScaleNormal="70" zoomScalePageLayoutView="84" workbookViewId="0">
      <selection activeCell="N14" sqref="N14"/>
    </sheetView>
  </sheetViews>
  <sheetFormatPr defaultColWidth="8.625" defaultRowHeight="30" customHeight="1"/>
  <cols>
    <col min="1" max="2" width="5.625" customWidth="1"/>
    <col min="3" max="3" width="2.625" customWidth="1"/>
    <col min="4" max="4" width="24.625" customWidth="1"/>
    <col min="5" max="10" width="12.625" customWidth="1"/>
    <col min="11" max="11" width="24.625" customWidth="1"/>
    <col min="12" max="12" width="2.625" customWidth="1"/>
    <col min="13" max="13" width="5.625" style="1" customWidth="1"/>
    <col min="14" max="14" width="75.5" style="2" customWidth="1"/>
    <col min="15" max="15" width="28.625" style="2" customWidth="1"/>
    <col min="16" max="16" width="78.875" style="3" customWidth="1"/>
    <col min="17" max="17" width="9.625" style="3" customWidth="1"/>
    <col min="18" max="18" width="5.625" customWidth="1"/>
  </cols>
  <sheetData>
    <row r="1" spans="1:18" ht="30" customHeight="1">
      <c r="A1" s="62"/>
      <c r="B1" s="62"/>
      <c r="C1" s="62"/>
      <c r="D1" s="63"/>
      <c r="E1" s="62"/>
      <c r="F1" s="62"/>
      <c r="G1" s="62"/>
      <c r="H1" s="62"/>
      <c r="I1" s="62"/>
      <c r="J1" s="62"/>
      <c r="K1" s="62"/>
      <c r="L1" s="62"/>
      <c r="M1" s="65"/>
      <c r="N1" s="65"/>
      <c r="O1" s="65"/>
      <c r="P1" s="65"/>
      <c r="Q1" s="65"/>
      <c r="R1" s="62"/>
    </row>
    <row r="2" spans="1:18" ht="30" customHeight="1" thickBot="1">
      <c r="A2" s="62"/>
      <c r="D2" s="6"/>
      <c r="E2" s="6"/>
      <c r="F2" s="6"/>
      <c r="G2" s="6"/>
      <c r="H2" s="6"/>
      <c r="I2" s="6"/>
      <c r="J2" s="6"/>
      <c r="K2" s="6"/>
      <c r="N2" s="103"/>
      <c r="O2" s="106"/>
      <c r="P2" s="40"/>
      <c r="Q2" s="40"/>
      <c r="R2" s="62"/>
    </row>
    <row r="3" spans="1:18" ht="30" customHeight="1" thickTop="1" thickBot="1">
      <c r="A3" s="62"/>
      <c r="C3" s="7"/>
      <c r="D3" s="8"/>
      <c r="K3" s="8"/>
      <c r="L3" s="28"/>
      <c r="N3" s="41"/>
      <c r="O3" s="107"/>
      <c r="P3" s="42"/>
      <c r="Q3" s="140"/>
      <c r="R3" s="62"/>
    </row>
    <row r="4" spans="1:18" ht="35.1" customHeight="1" thickTop="1">
      <c r="A4" s="62"/>
      <c r="C4" s="9"/>
      <c r="D4" s="10" t="s">
        <v>24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Q4" s="141"/>
      <c r="R4" s="62"/>
    </row>
    <row r="5" spans="1:18" ht="30" customHeight="1">
      <c r="A5" s="64"/>
      <c r="B5" s="12"/>
      <c r="C5" s="13"/>
      <c r="D5" s="195">
        <f ca="1">CalendarYear</f>
        <v>2026</v>
      </c>
      <c r="E5" s="27">
        <f ca="1">IF(DAY(NovSun1)=1,NovSun1-6,NovSun1+1)</f>
        <v>46321</v>
      </c>
      <c r="F5" s="27">
        <f ca="1">IF(DAY(NovSun1)=1,NovSun1-5,NovSun1+2)</f>
        <v>46322</v>
      </c>
      <c r="G5" s="27">
        <f ca="1">IF(DAY(NovSun1)=1,NovSun1-4,NovSun1+3)</f>
        <v>46323</v>
      </c>
      <c r="H5" s="27">
        <f ca="1">IF(DAY(NovSun1)=1,NovSun1-3,NovSun1+4)</f>
        <v>46324</v>
      </c>
      <c r="I5" s="27">
        <f ca="1">IF(DAY(NovSun1)=1,NovSun1-2,NovSun1+5)</f>
        <v>46325</v>
      </c>
      <c r="J5" s="27">
        <f ca="1">IF(DAY(NovSun1)=1,NovSun1-1,NovSun1+6)</f>
        <v>46326</v>
      </c>
      <c r="K5" s="27">
        <f ca="1">IF(DAY(NovSun1)=1,NovSun1,NovSun1+7)</f>
        <v>46327</v>
      </c>
      <c r="L5" s="30"/>
      <c r="M5" s="45"/>
      <c r="N5" s="46"/>
      <c r="O5" s="109"/>
      <c r="P5" s="47"/>
      <c r="Q5" s="140"/>
      <c r="R5" s="62"/>
    </row>
    <row r="6" spans="1:18" ht="30" customHeight="1">
      <c r="A6" s="64"/>
      <c r="B6" s="12"/>
      <c r="C6" s="13"/>
      <c r="D6" s="195"/>
      <c r="E6" s="27">
        <f ca="1">IF(DAY(NovSun1)=1,NovSun1+1,NovSun1+8)</f>
        <v>46328</v>
      </c>
      <c r="F6" s="27">
        <f ca="1">IF(DAY(NovSun1)=1,NovSun1+2,NovSun1+9)</f>
        <v>46329</v>
      </c>
      <c r="G6" s="27">
        <f ca="1">IF(DAY(NovSun1)=1,NovSun1+3,NovSun1+10)</f>
        <v>46330</v>
      </c>
      <c r="H6" s="27">
        <f ca="1">IF(DAY(NovSun1)=1,NovSun1+4,NovSun1+11)</f>
        <v>46331</v>
      </c>
      <c r="I6" s="27">
        <f ca="1">IF(DAY(NovSun1)=1,NovSun1+5,NovSun1+12)</f>
        <v>46332</v>
      </c>
      <c r="J6" s="27">
        <f ca="1">IF(DAY(NovSun1)=1,NovSun1+6,NovSun1+13)</f>
        <v>46333</v>
      </c>
      <c r="K6" s="27">
        <f ca="1">IF(DAY(NovSun1)=1,NovSun1+7,NovSun1+14)</f>
        <v>46334</v>
      </c>
      <c r="L6" s="30"/>
      <c r="M6" s="48"/>
      <c r="N6" s="179" t="s">
        <v>50</v>
      </c>
      <c r="O6" s="110" t="s">
        <v>25</v>
      </c>
      <c r="P6" s="111" t="s">
        <v>14</v>
      </c>
      <c r="Q6" s="142"/>
      <c r="R6" s="62"/>
    </row>
    <row r="7" spans="1:18" ht="30" customHeight="1">
      <c r="A7" s="64"/>
      <c r="B7" s="12"/>
      <c r="C7" s="13"/>
      <c r="D7" s="14"/>
      <c r="E7" s="27">
        <f ca="1">IF(DAY(NovSun1)=1,NovSun1+8,NovSun1+15)</f>
        <v>46335</v>
      </c>
      <c r="F7" s="27">
        <f ca="1">IF(DAY(NovSun1)=1,NovSun1+9,NovSun1+16)</f>
        <v>46336</v>
      </c>
      <c r="G7" s="27">
        <f ca="1">IF(DAY(NovSun1)=1,NovSun1+10,NovSun1+17)</f>
        <v>46337</v>
      </c>
      <c r="H7" s="27">
        <f ca="1">IF(DAY(NovSun1)=1,NovSun1+11,NovSun1+18)</f>
        <v>46338</v>
      </c>
      <c r="I7" s="27">
        <f ca="1">IF(DAY(NovSun1)=1,NovSun1+12,NovSun1+19)</f>
        <v>46339</v>
      </c>
      <c r="J7" s="27">
        <f ca="1">IF(DAY(NovSun1)=1,NovSun1+13,NovSun1+20)</f>
        <v>46340</v>
      </c>
      <c r="K7" s="27">
        <f ca="1">IF(DAY(NovSun1)=1,NovSun1+14,NovSun1+21)</f>
        <v>46341</v>
      </c>
      <c r="L7" s="30"/>
      <c r="M7" s="48"/>
      <c r="N7" s="89"/>
      <c r="O7" s="116" t="s">
        <v>26</v>
      </c>
      <c r="P7" s="118"/>
      <c r="Q7" s="143"/>
      <c r="R7" s="62"/>
    </row>
    <row r="8" spans="1:18" ht="30" customHeight="1">
      <c r="A8" s="64"/>
      <c r="B8" s="12"/>
      <c r="C8" s="13"/>
      <c r="D8" s="14"/>
      <c r="E8" s="27">
        <f ca="1">IF(DAY(NovSun1)=1,NovSun1+15,NovSun1+22)</f>
        <v>46342</v>
      </c>
      <c r="F8" s="27">
        <f ca="1">IF(DAY(NovSun1)=1,NovSun1+16,NovSun1+23)</f>
        <v>46343</v>
      </c>
      <c r="G8" s="27">
        <f ca="1">IF(DAY(NovSun1)=1,NovSun1+17,NovSun1+24)</f>
        <v>46344</v>
      </c>
      <c r="H8" s="27">
        <f ca="1">IF(DAY(NovSun1)=1,NovSun1+18,NovSun1+25)</f>
        <v>46345</v>
      </c>
      <c r="I8" s="27">
        <f ca="1">IF(DAY(NovSun1)=1,NovSun1+19,NovSun1+26)</f>
        <v>46346</v>
      </c>
      <c r="J8" s="27">
        <f ca="1">IF(DAY(NovSun1)=1,NovSun1+20,NovSun1+27)</f>
        <v>46347</v>
      </c>
      <c r="K8" s="27">
        <f ca="1">IF(DAY(NovSun1)=1,NovSun1+21,NovSun1+28)</f>
        <v>46348</v>
      </c>
      <c r="L8" s="30"/>
      <c r="M8" s="48"/>
      <c r="N8" s="176"/>
      <c r="O8" s="116"/>
      <c r="P8" s="118"/>
      <c r="Q8" s="144"/>
      <c r="R8" s="62"/>
    </row>
    <row r="9" spans="1:18" ht="30" customHeight="1">
      <c r="A9" s="64"/>
      <c r="B9" s="12"/>
      <c r="C9" s="13"/>
      <c r="D9" s="14"/>
      <c r="E9" s="27">
        <f ca="1">IF(DAY(NovSun1)=1,NovSun1+22,NovSun1+29)</f>
        <v>46349</v>
      </c>
      <c r="F9" s="27">
        <f ca="1">IF(DAY(NovSun1)=1,NovSun1+23,NovSun1+30)</f>
        <v>46350</v>
      </c>
      <c r="G9" s="27">
        <f ca="1">IF(DAY(NovSun1)=1,NovSun1+24,NovSun1+31)</f>
        <v>46351</v>
      </c>
      <c r="H9" s="27">
        <f ca="1">IF(DAY(NovSun1)=1,NovSun1+25,NovSun1+32)</f>
        <v>46352</v>
      </c>
      <c r="I9" s="27">
        <f ca="1">IF(DAY(NovSun1)=1,NovSun1+26,NovSun1+33)</f>
        <v>46353</v>
      </c>
      <c r="J9" s="27">
        <f ca="1">IF(DAY(NovSun1)=1,NovSun1+27,NovSun1+34)</f>
        <v>46354</v>
      </c>
      <c r="K9" s="27">
        <f ca="1">IF(DAY(NovSun1)=1,NovSun1+28,NovSun1+35)</f>
        <v>46355</v>
      </c>
      <c r="L9" s="30"/>
      <c r="M9" s="52"/>
      <c r="N9" s="50"/>
      <c r="O9" s="116"/>
      <c r="P9" s="118"/>
      <c r="Q9" s="145"/>
      <c r="R9" s="62"/>
    </row>
    <row r="10" spans="1:18" ht="30" customHeight="1">
      <c r="A10" s="64"/>
      <c r="B10" s="12"/>
      <c r="C10" s="13"/>
      <c r="D10" s="14"/>
      <c r="E10" s="27">
        <f ca="1">IF(DAY(NovSun1)=1,NovSun1+29,NovSun1+36)</f>
        <v>46356</v>
      </c>
      <c r="F10" s="27">
        <f ca="1">IF(DAY(NovSun1)=1,NovSun1+30,NovSun1+37)</f>
        <v>46357</v>
      </c>
      <c r="G10" s="27">
        <f ca="1">IF(DAY(NovSun1)=1,NovSun1+31,NovSun1+38)</f>
        <v>46358</v>
      </c>
      <c r="H10" s="27">
        <f ca="1">IF(DAY(NovSun1)=1,NovSun1+32,NovSun1+39)</f>
        <v>46359</v>
      </c>
      <c r="I10" s="27">
        <f ca="1">IF(DAY(NovSun1)=1,NovSun1+33,NovSun1+40)</f>
        <v>46360</v>
      </c>
      <c r="J10" s="27">
        <f ca="1">IF(DAY(NovSun1)=1,NovSun1+34,NovSun1+41)</f>
        <v>46361</v>
      </c>
      <c r="K10" s="27">
        <f ca="1">IF(DAY(NovSun1)=1,NovSun1+35,NovSun1+42)</f>
        <v>46362</v>
      </c>
      <c r="L10" s="31"/>
      <c r="M10" s="48"/>
      <c r="N10" s="51"/>
      <c r="O10" s="201"/>
      <c r="P10" s="200"/>
      <c r="Q10" s="146"/>
      <c r="R10" s="62"/>
    </row>
    <row r="11" spans="1:18" ht="30" customHeight="1" thickBot="1">
      <c r="A11" s="64"/>
      <c r="B11" s="12"/>
      <c r="C11" s="15"/>
      <c r="D11" s="6"/>
      <c r="K11" s="6"/>
      <c r="L11" s="32"/>
      <c r="M11" s="53"/>
      <c r="N11" s="51"/>
      <c r="O11" s="202"/>
      <c r="P11" s="199"/>
      <c r="Q11" s="146"/>
      <c r="R11" s="62"/>
    </row>
    <row r="12" spans="1:18" ht="30" customHeight="1" thickTop="1">
      <c r="A12" s="64"/>
      <c r="B12" s="12"/>
      <c r="C12" s="12"/>
      <c r="D12" s="16"/>
      <c r="E12" s="8"/>
      <c r="F12" s="8"/>
      <c r="G12" s="8"/>
      <c r="H12" s="8"/>
      <c r="I12" s="8"/>
      <c r="J12" s="8"/>
      <c r="K12" s="8"/>
      <c r="N12" s="54"/>
      <c r="O12" s="113"/>
      <c r="P12" s="118"/>
      <c r="Q12" s="147"/>
      <c r="R12" s="62"/>
    </row>
    <row r="13" spans="1:18" ht="30" customHeight="1">
      <c r="A13" s="64"/>
      <c r="B13" s="12"/>
      <c r="C13" s="12"/>
      <c r="H13" s="196" t="s">
        <v>0</v>
      </c>
      <c r="I13" s="196"/>
      <c r="J13" s="196" t="s">
        <v>1</v>
      </c>
      <c r="K13" s="196"/>
      <c r="L13" s="33"/>
      <c r="N13" s="54"/>
      <c r="O13" s="116"/>
      <c r="P13" s="118"/>
      <c r="Q13" s="148"/>
      <c r="R13" s="62"/>
    </row>
    <row r="14" spans="1:18" ht="36.75" customHeight="1">
      <c r="A14" s="64"/>
      <c r="B14" s="12"/>
      <c r="C14" s="12"/>
      <c r="D14" s="120"/>
      <c r="F14" s="119"/>
      <c r="G14" s="17"/>
      <c r="H14" s="196"/>
      <c r="I14" s="196"/>
      <c r="J14" s="196"/>
      <c r="K14" s="196"/>
      <c r="L14" s="33"/>
      <c r="M14" s="55"/>
      <c r="N14" s="50"/>
      <c r="O14" s="116"/>
      <c r="P14" s="118"/>
      <c r="Q14" s="148"/>
      <c r="R14" s="62"/>
    </row>
    <row r="15" spans="1:18" ht="45" customHeight="1">
      <c r="A15" s="64"/>
      <c r="B15" s="12"/>
      <c r="C15" s="12"/>
      <c r="D15" s="18"/>
      <c r="E15" s="18"/>
      <c r="F15" s="18"/>
      <c r="G15" s="18"/>
      <c r="H15" s="18"/>
      <c r="I15" s="18"/>
      <c r="J15" s="18"/>
      <c r="K15" s="18"/>
      <c r="L15" s="18"/>
      <c r="M15" s="55"/>
      <c r="N15" s="51"/>
      <c r="O15" s="116"/>
      <c r="P15" s="118"/>
      <c r="Q15" s="147"/>
      <c r="R15" s="62"/>
    </row>
    <row r="16" spans="1:18" ht="30" customHeight="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</sheetData>
  <mergeCells count="7">
    <mergeCell ref="O10:O11"/>
    <mergeCell ref="P10:P11"/>
    <mergeCell ref="D5:D6"/>
    <mergeCell ref="H13:I13"/>
    <mergeCell ref="J13:K13"/>
    <mergeCell ref="H14:I14"/>
    <mergeCell ref="J14:K14"/>
  </mergeCells>
  <conditionalFormatting sqref="E5:J5">
    <cfRule type="expression" dxfId="51" priority="47" stopIfTrue="1">
      <formula>DAY(E5)&gt;8</formula>
    </cfRule>
  </conditionalFormatting>
  <conditionalFormatting sqref="E5:K10">
    <cfRule type="expression" dxfId="50" priority="48">
      <formula>VLOOKUP(DAY(E5),$O:$O,1,FALSE)=DAY(E5)</formula>
    </cfRule>
  </conditionalFormatting>
  <conditionalFormatting sqref="E9:K10">
    <cfRule type="expression" dxfId="49" priority="46" stopIfTrue="1">
      <formula>AND(DAY(E9)&gt;=1,DAY(E9)&lt;=15)</formula>
    </cfRule>
  </conditionalFormatting>
  <conditionalFormatting sqref="M6:M11">
    <cfRule type="expression" dxfId="48" priority="54">
      <formula>VLOOKUP(DAY(M6),AssignmentDays,1,FALSE)=DAY(M6)</formula>
    </cfRule>
  </conditionalFormatting>
  <conditionalFormatting sqref="M10:M11">
    <cfRule type="expression" dxfId="47" priority="53" stopIfTrue="1">
      <formula>AND(DAY(M10)&gt;=1,DAY(M10)&lt;=15)</formula>
    </cfRule>
  </conditionalFormatting>
  <dataValidations count="8">
    <dataValidation allowBlank="1" showInputMessage="1" showErrorMessage="1" prompt="November calendar. Calendar year is automatically updated based on cell D5 in Jan sheet." sqref="A1" xr:uid="{00000000-0002-0000-0C00-000000000000}"/>
    <dataValidation allowBlank="1" showInputMessage="1" showErrorMessage="1" prompt="Calendar automatically highlights assignment list entries for the month. Darker fonts are assignments. Lighter fonts are days that belong to the previous or next month" sqref="D4" xr:uid="{00000000-0002-0000-0C00-000001000000}"/>
    <dataValidation allowBlank="1" showInputMessage="1" showErrorMessage="1" prompt="Cells E4:K4 contain weekdays" sqref="E4" xr:uid="{00000000-0002-0000-0C00-000002000000}"/>
    <dataValidation allowBlank="1" showInputMessage="1" showErrorMessage="1" prompt="Enter the assignment details in this column that correspond to the weekday in column N and day in column O for the calendar month at left" sqref="N4:O4" xr:uid="{89579C0A-7301-40EA-AFED-F9876144E158}"/>
    <dataValidation allowBlank="1" showInputMessage="1" showErrorMessage="1" prompt="If this cell doesn’t contain the number 1, then it is a day from a previous month. Cells E5:K10 contain dates for the current month" sqref="E5" xr:uid="{00000000-0002-0000-0C00-000004000000}"/>
    <dataValidation allowBlank="1" showInputMessage="1" showErrorMessage="1" prompt="If this row contains a number less than the previous number or row of numbers, then this row contains dates for the next calendar month" sqref="E10" xr:uid="{00000000-0002-0000-0C00-000005000000}"/>
    <dataValidation allowBlank="1" showInputMessage="1" showErrorMessage="1" prompt="Day of the week goes in this row, starting in cell D16" sqref="A15" xr:uid="{00000000-0002-0000-0C00-000006000000}"/>
    <dataValidation allowBlank="1" showInputMessage="1" showErrorMessage="1" prompt="Calendar year is automatically updated in this cell. To change the calendar year, to go cell D5 in Jan worksheet." sqref="D5:D6" xr:uid="{00000000-0002-0000-0C00-000008000000}"/>
  </dataValidations>
  <printOptions horizontalCentered="1" verticalCentered="1"/>
  <pageMargins left="0.25" right="0.25" top="0.5" bottom="0.5" header="0.3" footer="0.3"/>
  <pageSetup scale="47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1E70584B-26FA-4063-9A4F-66722FA9DBFB}">
            <xm:f>List!$A$8=O2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0" id="{D0EC4AF9-CD51-4C48-AA96-C6586CCECCDA}">
            <xm:f>List!$A$9=O2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1" id="{C4F1757E-94E1-4676-80F8-CFB68472299A}">
            <xm:f>List!$A$7=O2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12" id="{0005A642-CC69-4CD1-A862-C12ABDFC2D90}">
            <xm:f>List!$A$6=O2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3" id="{8DECFF7F-8935-441E-AE5A-A92DC91951FC}">
            <xm:f>List!$A$5=O2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14" id="{6F9233F6-18A9-4AFA-BFB2-BE384506D386}">
            <xm:f>List!$A$4=O2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15" id="{241CC481-FBD2-451C-B3AB-4F8DE2D3AC94}">
            <xm:f>List!$A$3=O2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6" id="{98E2B885-2EE9-424A-A901-FC8FDC0E5F12}">
            <xm:f>List!$A$2=O2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O2:O7</xm:sqref>
        </x14:conditionalFormatting>
        <x14:conditionalFormatting xmlns:xm="http://schemas.microsoft.com/office/excel/2006/main">
          <x14:cfRule type="expression" priority="1" id="{18737801-370B-4CC7-85D8-4339F712B038}">
            <xm:f>List!$A$8=O9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" id="{6B4F49E2-9945-4857-994C-38DBED650248}">
            <xm:f>List!$A$9=O9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3" id="{0A3B9D4F-0B80-49F3-824E-7B79F55BC01D}">
            <xm:f>List!$A$7=O9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4" id="{0B1C580C-0375-488E-BC00-2DC016DDFF97}">
            <xm:f>List!$A$6=O9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5" id="{E2DB399B-636C-4DF8-8632-79AEDDC9CEC5}">
            <xm:f>List!$A$5=O9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6" id="{ABC9332E-B17A-46A1-9732-ED380D642EDA}">
            <xm:f>List!$A$4=O9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7" id="{3EC09461-EBD3-4930-B854-85798FEDEA0D}">
            <xm:f>List!$A$3=O9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8" id="{AD0B119E-F596-4C58-B063-77F0BCB7CCE0}">
            <xm:f>List!$A$2=O9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O9:O10</xm:sqref>
        </x14:conditionalFormatting>
        <x14:conditionalFormatting xmlns:xm="http://schemas.microsoft.com/office/excel/2006/main">
          <x14:cfRule type="expression" priority="34" id="{3D280F89-1E24-4E03-8BF9-633BBF93F1C9}">
            <xm:f>List!$A$8=O12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35" id="{FB2192D5-C57D-4831-B32D-DF8EC962C945}">
            <xm:f>List!$A$9=O12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36" id="{B20F569D-794C-4B14-AB1B-AB9F13D3E671}">
            <xm:f>List!$A$7=O12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37" id="{054ACEFC-A154-4DA6-9526-96ED59692E9F}">
            <xm:f>List!$A$6=O12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38" id="{3F0B1F20-EE1E-4058-9DF9-375FAEB2ED58}">
            <xm:f>List!$A$5=O12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39" id="{DA765D34-429C-4CE7-A709-0DBB1F5C1689}">
            <xm:f>List!$A$4=O12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40" id="{7A64BD3B-7AB3-46EE-8F38-61D4A66B95EA}">
            <xm:f>List!$A$3=O12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41" id="{C46F3045-3CE2-40EF-9F96-5CB497A598EE}">
            <xm:f>List!$A$2=O12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O12:O13 O15 O17:O1048576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221B8D-B04C-4F24-9184-5DF38F137B8F}">
          <x14:formula1>
            <xm:f>List!$A$2:$A$11</xm:f>
          </x14:formula1>
          <xm:sqref>O15 O7 O9:O10 O12:O13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3E03A-2561-4119-A7AF-75FF3D3AEF18}">
  <sheetPr>
    <tabColor theme="3" tint="0.59999389629810485"/>
    <pageSetUpPr fitToPage="1"/>
  </sheetPr>
  <dimension ref="A1:R43"/>
  <sheetViews>
    <sheetView showGridLines="0" zoomScale="70" zoomScaleNormal="70" zoomScalePageLayoutView="84" workbookViewId="0">
      <selection activeCell="K24" sqref="K24"/>
    </sheetView>
  </sheetViews>
  <sheetFormatPr defaultColWidth="8.625" defaultRowHeight="30" customHeight="1"/>
  <cols>
    <col min="1" max="2" width="5.625" customWidth="1"/>
    <col min="3" max="3" width="2.625" customWidth="1"/>
    <col min="4" max="4" width="24.625" customWidth="1"/>
    <col min="5" max="10" width="12.625" customWidth="1"/>
    <col min="11" max="11" width="24.625" customWidth="1"/>
    <col min="12" max="12" width="2.625" customWidth="1"/>
    <col min="13" max="13" width="5.625" style="1" customWidth="1"/>
    <col min="14" max="14" width="75.5" style="2" customWidth="1"/>
    <col min="15" max="15" width="28.625" style="2" customWidth="1"/>
    <col min="16" max="16" width="78.875" style="3" customWidth="1"/>
    <col min="17" max="17" width="11.75" style="3" customWidth="1"/>
    <col min="18" max="18" width="5.625" customWidth="1"/>
  </cols>
  <sheetData>
    <row r="1" spans="1:18" ht="30" customHeight="1">
      <c r="A1" s="4"/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39"/>
      <c r="N1" s="39"/>
      <c r="O1" s="39"/>
      <c r="P1" s="39"/>
      <c r="Q1" s="39"/>
      <c r="R1" s="4"/>
    </row>
    <row r="2" spans="1:18" ht="30" customHeight="1" thickBot="1">
      <c r="A2" s="4"/>
      <c r="D2" s="6"/>
      <c r="E2" s="6"/>
      <c r="F2" s="6"/>
      <c r="G2" s="6"/>
      <c r="H2" s="6"/>
      <c r="I2" s="6"/>
      <c r="J2" s="6"/>
      <c r="K2" s="6"/>
      <c r="N2" s="103"/>
      <c r="O2" s="106"/>
      <c r="P2" s="40"/>
      <c r="Q2" s="40"/>
      <c r="R2" s="4"/>
    </row>
    <row r="3" spans="1:18" ht="30" customHeight="1" thickTop="1" thickBot="1">
      <c r="A3" s="4"/>
      <c r="C3" s="7"/>
      <c r="D3" s="8"/>
      <c r="K3" s="8"/>
      <c r="L3" s="28"/>
      <c r="N3" s="41"/>
      <c r="O3" s="107"/>
      <c r="P3" s="42"/>
      <c r="Q3" s="140"/>
      <c r="R3" s="4"/>
    </row>
    <row r="4" spans="1:18" ht="35.1" customHeight="1" thickTop="1">
      <c r="A4" s="4"/>
      <c r="C4" s="9"/>
      <c r="D4" s="10" t="s">
        <v>43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Q4" s="141"/>
      <c r="R4" s="4"/>
    </row>
    <row r="5" spans="1:18" ht="30" customHeight="1">
      <c r="A5" s="11"/>
      <c r="B5" s="12"/>
      <c r="C5" s="13"/>
      <c r="D5" s="195">
        <f>CalendarYear</f>
        <v>2026</v>
      </c>
      <c r="E5" s="27">
        <f>IF(DAY(DecSun1)=1,DecSun1-6,DecSun1+1)</f>
        <v>46356</v>
      </c>
      <c r="F5" s="27">
        <f>IF(DAY(DecSun1)=1,DecSun1-5,DecSun1+2)</f>
        <v>46357</v>
      </c>
      <c r="G5" s="27">
        <f>IF(DAY(DecSun1)=1,DecSun1-4,DecSun1+3)</f>
        <v>46358</v>
      </c>
      <c r="H5" s="27">
        <f>IF(DAY(DecSun1)=1,DecSun1-3,DecSun1+4)</f>
        <v>46359</v>
      </c>
      <c r="I5" s="27">
        <f>IF(DAY(DecSun1)=1,DecSun1-2,DecSun1+5)</f>
        <v>46360</v>
      </c>
      <c r="J5" s="27">
        <f>IF(DAY(DecSun1)=1,DecSun1-1,DecSun1+6)</f>
        <v>46361</v>
      </c>
      <c r="K5" s="27">
        <f>IF(DAY(DecSun1)=1,DecSun1,DecSun1+7)</f>
        <v>46362</v>
      </c>
      <c r="L5" s="30"/>
      <c r="M5" s="45"/>
      <c r="N5" s="46"/>
      <c r="O5" s="109"/>
      <c r="P5" s="47"/>
      <c r="Q5" s="140"/>
      <c r="R5" s="4"/>
    </row>
    <row r="6" spans="1:18" ht="30" customHeight="1">
      <c r="A6" s="11"/>
      <c r="B6" s="12"/>
      <c r="C6" s="13"/>
      <c r="D6" s="195"/>
      <c r="E6" s="27">
        <f>IF(DAY(DecSun1)=1,DecSun1+1,DecSun1+8)</f>
        <v>46363</v>
      </c>
      <c r="F6" s="27">
        <f>IF(DAY(DecSun1)=1,DecSun1+2,DecSun1+9)</f>
        <v>46364</v>
      </c>
      <c r="G6" s="27">
        <f>IF(DAY(DecSun1)=1,DecSun1+3,DecSun1+10)</f>
        <v>46365</v>
      </c>
      <c r="H6" s="27">
        <f>IF(DAY(DecSun1)=1,DecSun1+4,DecSun1+11)</f>
        <v>46366</v>
      </c>
      <c r="I6" s="27">
        <f>IF(DAY(DecSun1)=1,DecSun1+5,DecSun1+12)</f>
        <v>46367</v>
      </c>
      <c r="J6" s="27">
        <f>IF(DAY(DecSun1)=1,DecSun1+6,DecSun1+13)</f>
        <v>46368</v>
      </c>
      <c r="K6" s="27">
        <f>IF(DAY(DecSun1)=1,DecSun1+7,DecSun1+14)</f>
        <v>46369</v>
      </c>
      <c r="L6" s="30"/>
      <c r="M6" s="48"/>
      <c r="N6" s="179" t="s">
        <v>50</v>
      </c>
      <c r="O6" s="110" t="s">
        <v>25</v>
      </c>
      <c r="P6" s="111" t="s">
        <v>14</v>
      </c>
      <c r="Q6" s="142"/>
      <c r="R6" s="4"/>
    </row>
    <row r="7" spans="1:18" ht="39.950000000000003" customHeight="1">
      <c r="A7" s="11"/>
      <c r="B7" s="12"/>
      <c r="C7" s="13"/>
      <c r="D7" s="14"/>
      <c r="E7" s="27">
        <f>IF(DAY(DecSun1)=1,DecSun1+8,DecSun1+15)</f>
        <v>46370</v>
      </c>
      <c r="F7" s="27">
        <f>IF(DAY(DecSun1)=1,DecSun1+9,DecSun1+16)</f>
        <v>46371</v>
      </c>
      <c r="G7" s="27">
        <f>IF(DAY(DecSun1)=1,DecSun1+10,DecSun1+17)</f>
        <v>46372</v>
      </c>
      <c r="H7" s="188">
        <f>IF(DAY(DecSun1)=1,DecSun1+11,DecSun1+18)</f>
        <v>46373</v>
      </c>
      <c r="I7" s="27">
        <f>IF(DAY(DecSun1)=1,DecSun1+12,DecSun1+19)</f>
        <v>46374</v>
      </c>
      <c r="J7" s="27">
        <f>IF(DAY(DecSun1)=1,DecSun1+13,DecSun1+20)</f>
        <v>46375</v>
      </c>
      <c r="K7" s="27">
        <f>IF(DAY(DecSun1)=1,DecSun1+14,DecSun1+21)</f>
        <v>46376</v>
      </c>
      <c r="L7" s="30"/>
      <c r="M7" s="48"/>
      <c r="N7" s="89" t="s">
        <v>51</v>
      </c>
      <c r="O7" s="116" t="s">
        <v>31</v>
      </c>
      <c r="P7" s="58" t="s">
        <v>55</v>
      </c>
      <c r="Q7" s="143"/>
      <c r="R7" s="4"/>
    </row>
    <row r="8" spans="1:18" ht="39.950000000000003" customHeight="1">
      <c r="A8" s="11"/>
      <c r="B8" s="12"/>
      <c r="C8" s="13"/>
      <c r="D8" s="14"/>
      <c r="E8" s="27">
        <f>IF(DAY(DecSun1)=1,DecSun1+15,DecSun1+22)</f>
        <v>46377</v>
      </c>
      <c r="F8" s="27">
        <f>IF(DAY(DecSun1)=1,DecSun1+16,DecSun1+23)</f>
        <v>46378</v>
      </c>
      <c r="G8" s="27">
        <f>IF(DAY(DecSun1)=1,DecSun1+17,DecSun1+24)</f>
        <v>46379</v>
      </c>
      <c r="H8" s="27">
        <f>IF(DAY(DecSun1)=1,DecSun1+18,DecSun1+25)</f>
        <v>46380</v>
      </c>
      <c r="I8" s="27">
        <f>IF(DAY(DecSun1)=1,DecSun1+19,DecSun1+26)</f>
        <v>46381</v>
      </c>
      <c r="J8" s="27">
        <f>IF(DAY(DecSun1)=1,DecSun1+20,DecSun1+27)</f>
        <v>46382</v>
      </c>
      <c r="K8" s="27">
        <f>IF(DAY(DecSun1)=1,DecSun1+21,DecSun1+28)</f>
        <v>46383</v>
      </c>
      <c r="L8" s="30"/>
      <c r="M8" s="48"/>
      <c r="N8" s="176" t="s">
        <v>28</v>
      </c>
      <c r="O8" s="190" t="s">
        <v>26</v>
      </c>
      <c r="P8" s="177" t="s">
        <v>61</v>
      </c>
      <c r="Q8" s="144"/>
      <c r="R8" s="4"/>
    </row>
    <row r="9" spans="1:18" ht="41.1" customHeight="1">
      <c r="A9" s="11"/>
      <c r="B9" s="12"/>
      <c r="C9" s="13"/>
      <c r="D9" s="14"/>
      <c r="E9" s="27">
        <f>IF(DAY(DecSun1)=1,DecSun1+22,DecSun1+29)</f>
        <v>46384</v>
      </c>
      <c r="F9" s="27">
        <f>IF(DAY(DecSun1)=1,DecSun1+23,DecSun1+30)</f>
        <v>46385</v>
      </c>
      <c r="G9" s="27">
        <f>IF(DAY(DecSun1)=1,DecSun1+24,DecSun1+31)</f>
        <v>46386</v>
      </c>
      <c r="H9" s="27">
        <f>IF(DAY(DecSun1)=1,DecSun1+25,DecSun1+32)</f>
        <v>46387</v>
      </c>
      <c r="I9" s="27">
        <f>IF(DAY(DecSun1)=1,DecSun1+26,DecSun1+33)</f>
        <v>46388</v>
      </c>
      <c r="J9" s="27">
        <f>IF(DAY(DecSun1)=1,DecSun1+27,DecSun1+34)</f>
        <v>46389</v>
      </c>
      <c r="K9" s="27">
        <f>IF(DAY(DecSun1)=1,DecSun1+28,DecSun1+35)</f>
        <v>46390</v>
      </c>
      <c r="L9" s="30"/>
      <c r="M9" s="52"/>
      <c r="N9" s="50"/>
      <c r="Q9" s="145"/>
      <c r="R9" s="4"/>
    </row>
    <row r="10" spans="1:18" ht="30" customHeight="1">
      <c r="A10" s="11"/>
      <c r="B10" s="12"/>
      <c r="C10" s="13"/>
      <c r="D10" s="14"/>
      <c r="E10" s="27">
        <f>IF(DAY(DecSun1)=1,DecSun1+29,DecSun1+36)</f>
        <v>46391</v>
      </c>
      <c r="F10" s="27">
        <f>IF(DAY(DecSun1)=1,DecSun1+30,DecSun1+37)</f>
        <v>46392</v>
      </c>
      <c r="G10" s="27">
        <f>IF(DAY(DecSun1)=1,DecSun1+31,DecSun1+38)</f>
        <v>46393</v>
      </c>
      <c r="H10" s="27">
        <f>IF(DAY(DecSun1)=1,DecSun1+32,DecSun1+39)</f>
        <v>46394</v>
      </c>
      <c r="I10" s="27">
        <f>IF(DAY(DecSun1)=1,DecSun1+33,DecSun1+40)</f>
        <v>46395</v>
      </c>
      <c r="J10" s="27">
        <f>IF(DAY(DecSun1)=1,DecSun1+34,DecSun1+41)</f>
        <v>46396</v>
      </c>
      <c r="K10" s="27">
        <f>IF(DAY(DecSun1)=1,DecSun1+35,DecSun1+42)</f>
        <v>46397</v>
      </c>
      <c r="L10" s="31"/>
      <c r="M10" s="48"/>
      <c r="N10" s="51"/>
      <c r="O10" s="113"/>
      <c r="P10" s="58" t="s">
        <v>64</v>
      </c>
      <c r="Q10" s="146"/>
      <c r="R10" s="4"/>
    </row>
    <row r="11" spans="1:18" ht="30" customHeight="1" thickBot="1">
      <c r="A11" s="11"/>
      <c r="B11" s="12"/>
      <c r="C11" s="15"/>
      <c r="D11" s="6"/>
      <c r="K11" s="6"/>
      <c r="L11" s="32"/>
      <c r="M11" s="53"/>
      <c r="N11" s="51"/>
      <c r="O11" s="160"/>
      <c r="P11" s="58"/>
      <c r="Q11" s="146"/>
      <c r="R11" s="4"/>
    </row>
    <row r="12" spans="1:18" ht="30" customHeight="1" thickTop="1">
      <c r="A12" s="11"/>
      <c r="B12" s="12"/>
      <c r="C12" s="12"/>
      <c r="D12" s="16"/>
      <c r="E12" s="8"/>
      <c r="F12" s="8"/>
      <c r="G12" s="8"/>
      <c r="H12" s="8"/>
      <c r="I12" s="8"/>
      <c r="J12" s="8"/>
      <c r="K12" s="8"/>
      <c r="N12" s="54"/>
      <c r="O12" s="113"/>
      <c r="P12" s="104" t="s">
        <v>65</v>
      </c>
      <c r="Q12" s="147"/>
      <c r="R12" s="4"/>
    </row>
    <row r="13" spans="1:18" ht="30" customHeight="1">
      <c r="A13" s="4"/>
      <c r="H13" s="196"/>
      <c r="I13" s="196"/>
      <c r="J13" s="196"/>
      <c r="K13" s="196"/>
      <c r="L13" s="33"/>
      <c r="N13" s="54"/>
      <c r="O13" s="113"/>
      <c r="P13" s="104"/>
      <c r="Q13" s="148"/>
      <c r="R13" s="4"/>
    </row>
    <row r="14" spans="1:18" ht="30" customHeight="1">
      <c r="A14" s="4"/>
      <c r="B14" s="1"/>
      <c r="C14" s="1"/>
      <c r="D14" s="120"/>
      <c r="E14" s="120"/>
      <c r="F14" s="120"/>
      <c r="G14" s="120"/>
      <c r="H14" s="120"/>
      <c r="I14" s="120"/>
      <c r="J14" s="120"/>
      <c r="K14" s="120"/>
      <c r="L14" s="33"/>
      <c r="N14" s="54"/>
      <c r="O14" s="160"/>
      <c r="P14" s="58" t="s">
        <v>66</v>
      </c>
      <c r="Q14" s="148"/>
      <c r="R14" s="4"/>
    </row>
    <row r="15" spans="1:18" ht="30" customHeight="1">
      <c r="A15" s="4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54"/>
      <c r="O15" s="116"/>
      <c r="P15" s="118"/>
      <c r="Q15" s="147"/>
      <c r="R15" s="4"/>
    </row>
    <row r="16" spans="1:18" ht="30" customHeight="1">
      <c r="A16" s="4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54"/>
      <c r="O16" s="113"/>
      <c r="P16" s="58" t="s">
        <v>67</v>
      </c>
      <c r="Q16" s="144"/>
      <c r="R16" s="4"/>
    </row>
    <row r="17" spans="1:18" ht="30" customHeight="1">
      <c r="A17" s="4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54"/>
      <c r="O17" s="113"/>
      <c r="P17" s="104"/>
      <c r="Q17" s="144"/>
      <c r="R17" s="4"/>
    </row>
    <row r="18" spans="1:18" ht="30" customHeight="1">
      <c r="A18" s="4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54"/>
      <c r="O18" s="162"/>
      <c r="P18" s="56"/>
      <c r="Q18" s="142"/>
      <c r="R18" s="4"/>
    </row>
    <row r="19" spans="1:18" ht="30" customHeight="1">
      <c r="A19" s="4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54"/>
      <c r="O19" s="113"/>
      <c r="P19" s="104"/>
      <c r="Q19" s="143"/>
      <c r="R19" s="4"/>
    </row>
    <row r="20" spans="1:18" ht="30" customHeight="1">
      <c r="A20" s="4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54"/>
      <c r="O20" s="113"/>
      <c r="P20" s="104"/>
      <c r="Q20" s="144"/>
      <c r="R20" s="4"/>
    </row>
    <row r="21" spans="1:18" ht="30" customHeight="1">
      <c r="A21" s="4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54"/>
      <c r="O21" s="160"/>
      <c r="P21" s="58"/>
      <c r="Q21" s="145"/>
      <c r="R21" s="4"/>
    </row>
    <row r="22" spans="1:18" ht="30" customHeight="1">
      <c r="A22" s="4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54"/>
      <c r="O22" s="113"/>
      <c r="P22" s="161"/>
      <c r="Q22" s="146"/>
      <c r="R22" s="4"/>
    </row>
    <row r="23" spans="1:18" ht="30" customHeight="1">
      <c r="A23" s="4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54"/>
      <c r="O23" s="113"/>
      <c r="P23" s="161"/>
      <c r="Q23" s="146"/>
      <c r="R23" s="4"/>
    </row>
    <row r="24" spans="1:18" ht="30" customHeight="1">
      <c r="A24" s="4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54"/>
      <c r="O24" s="113"/>
      <c r="P24" s="118"/>
      <c r="Q24" s="147"/>
      <c r="R24" s="4"/>
    </row>
    <row r="25" spans="1:18" ht="30" customHeight="1">
      <c r="A25" s="4"/>
      <c r="B25" s="194"/>
      <c r="C25" s="194"/>
      <c r="D25" s="185"/>
      <c r="E25" s="120"/>
      <c r="F25" s="120"/>
      <c r="G25" s="120"/>
      <c r="H25" s="120"/>
      <c r="I25" s="120"/>
      <c r="J25" s="120"/>
      <c r="K25" s="120"/>
      <c r="L25" s="120"/>
      <c r="M25" s="120"/>
      <c r="N25" s="54"/>
      <c r="O25" s="116"/>
      <c r="P25" s="118"/>
      <c r="Q25" s="148"/>
      <c r="R25" s="4"/>
    </row>
    <row r="26" spans="1:18" ht="30" customHeight="1">
      <c r="A26" s="4"/>
      <c r="B26" s="193"/>
      <c r="C26" s="193"/>
      <c r="D26" s="22"/>
      <c r="E26" s="194"/>
      <c r="F26" s="194"/>
      <c r="G26" s="194"/>
      <c r="H26" s="194"/>
      <c r="I26" s="194"/>
      <c r="J26" s="194"/>
      <c r="K26" s="120"/>
      <c r="L26" s="120"/>
      <c r="M26" s="120"/>
      <c r="N26" s="54"/>
      <c r="O26" s="116"/>
      <c r="P26" s="118"/>
      <c r="Q26" s="148"/>
      <c r="R26" s="4"/>
    </row>
    <row r="27" spans="1:18" ht="30" customHeight="1">
      <c r="A27" s="4"/>
      <c r="B27" s="194"/>
      <c r="C27" s="194"/>
      <c r="D27" s="185"/>
      <c r="E27" s="193"/>
      <c r="F27" s="193"/>
      <c r="G27" s="193"/>
      <c r="H27" s="193"/>
      <c r="I27" s="193"/>
      <c r="J27" s="193"/>
      <c r="K27" s="120"/>
      <c r="L27" s="120"/>
      <c r="M27" s="120"/>
      <c r="N27" s="54"/>
      <c r="O27" s="113"/>
      <c r="P27" s="104"/>
      <c r="Q27" s="143"/>
      <c r="R27" s="4"/>
    </row>
    <row r="28" spans="1:18" ht="30" customHeight="1">
      <c r="A28" s="4"/>
      <c r="B28" s="193"/>
      <c r="C28" s="193"/>
      <c r="D28" s="22"/>
      <c r="E28" s="194"/>
      <c r="F28" s="194"/>
      <c r="G28" s="194"/>
      <c r="H28" s="194"/>
      <c r="I28" s="194"/>
      <c r="J28" s="194"/>
      <c r="K28" s="120"/>
      <c r="L28" s="120"/>
      <c r="M28" s="120"/>
      <c r="N28" s="54"/>
      <c r="O28" s="162"/>
      <c r="P28" s="56"/>
      <c r="Q28" s="142"/>
      <c r="R28" s="4"/>
    </row>
    <row r="29" spans="1:18" ht="30" customHeight="1">
      <c r="A29" s="4"/>
      <c r="B29" s="194"/>
      <c r="C29" s="194"/>
      <c r="D29" s="185"/>
      <c r="E29" s="193"/>
      <c r="F29" s="193"/>
      <c r="G29" s="193"/>
      <c r="H29" s="193"/>
      <c r="I29" s="193"/>
      <c r="J29" s="193"/>
      <c r="K29" s="120"/>
      <c r="L29" s="120"/>
      <c r="M29" s="120"/>
      <c r="N29" s="54"/>
      <c r="O29" s="113"/>
      <c r="P29" s="104"/>
      <c r="Q29" s="143"/>
      <c r="R29" s="4"/>
    </row>
    <row r="30" spans="1:18" ht="30" customHeight="1">
      <c r="A30" s="4"/>
      <c r="B30" s="193"/>
      <c r="C30" s="193"/>
      <c r="D30" s="22"/>
      <c r="E30" s="194"/>
      <c r="F30" s="194"/>
      <c r="G30" s="194"/>
      <c r="H30" s="194"/>
      <c r="I30" s="194"/>
      <c r="J30" s="194"/>
      <c r="K30" s="120"/>
      <c r="L30" s="120"/>
      <c r="M30" s="120"/>
      <c r="N30" s="54"/>
      <c r="O30" s="113"/>
      <c r="P30" s="104"/>
      <c r="Q30" s="143"/>
      <c r="R30" s="4"/>
    </row>
    <row r="31" spans="1:18" ht="30" customHeight="1">
      <c r="A31" s="4"/>
      <c r="B31" s="194"/>
      <c r="C31" s="194"/>
      <c r="D31" s="185"/>
      <c r="E31" s="193"/>
      <c r="F31" s="193"/>
      <c r="G31" s="193"/>
      <c r="H31" s="193"/>
      <c r="I31" s="193"/>
      <c r="J31" s="193"/>
      <c r="K31" s="120"/>
      <c r="L31" s="120"/>
      <c r="M31" s="120"/>
      <c r="N31" s="54"/>
      <c r="O31" s="160"/>
      <c r="P31" s="104"/>
      <c r="Q31" s="144"/>
      <c r="R31" s="4"/>
    </row>
    <row r="32" spans="1:18" ht="30" customHeight="1">
      <c r="A32" s="4"/>
      <c r="B32" s="193"/>
      <c r="C32" s="193"/>
      <c r="D32" s="22"/>
      <c r="E32" s="194"/>
      <c r="F32" s="194"/>
      <c r="G32" s="194"/>
      <c r="H32" s="194"/>
      <c r="I32" s="194"/>
      <c r="J32" s="194"/>
      <c r="K32" s="120"/>
      <c r="L32" s="120"/>
      <c r="M32" s="120"/>
      <c r="N32" s="54"/>
      <c r="O32" s="160"/>
      <c r="P32" s="104"/>
      <c r="Q32" s="144"/>
      <c r="R32" s="4"/>
    </row>
    <row r="33" spans="1:18" ht="30" customHeight="1">
      <c r="A33" s="4"/>
      <c r="B33" s="194"/>
      <c r="C33" s="194"/>
      <c r="D33" s="185"/>
      <c r="E33" s="193"/>
      <c r="F33" s="193"/>
      <c r="G33" s="193"/>
      <c r="H33" s="193"/>
      <c r="I33" s="193"/>
      <c r="J33" s="193"/>
      <c r="K33" s="120"/>
      <c r="L33" s="120"/>
      <c r="M33" s="120"/>
      <c r="N33" s="54"/>
      <c r="O33" s="113"/>
      <c r="P33" s="118"/>
      <c r="Q33" s="148"/>
      <c r="R33" s="4"/>
    </row>
    <row r="34" spans="1:18" ht="30" customHeight="1">
      <c r="A34" s="4"/>
      <c r="B34" s="193"/>
      <c r="C34" s="193"/>
      <c r="D34" s="22"/>
      <c r="E34" s="194"/>
      <c r="F34" s="194"/>
      <c r="G34" s="194"/>
      <c r="H34" s="194"/>
      <c r="I34" s="194"/>
      <c r="J34" s="194"/>
      <c r="K34" s="120"/>
      <c r="L34" s="120"/>
      <c r="M34" s="120"/>
      <c r="N34" s="54"/>
      <c r="O34" s="113"/>
      <c r="P34" s="118"/>
      <c r="Q34" s="148"/>
      <c r="R34" s="4"/>
    </row>
    <row r="35" spans="1:18" ht="30" customHeight="1">
      <c r="A35" s="4"/>
      <c r="B35" s="194"/>
      <c r="C35" s="194"/>
      <c r="D35" s="185"/>
      <c r="E35" s="193"/>
      <c r="F35" s="193"/>
      <c r="G35" s="193"/>
      <c r="H35" s="193"/>
      <c r="I35" s="193"/>
      <c r="J35" s="193"/>
      <c r="K35" s="120"/>
      <c r="L35" s="120"/>
      <c r="M35" s="120"/>
      <c r="N35" s="54"/>
      <c r="O35" s="116"/>
      <c r="P35" s="118"/>
      <c r="Q35" s="148"/>
      <c r="R35" s="4"/>
    </row>
    <row r="36" spans="1:18" ht="30" customHeight="1">
      <c r="A36" s="4"/>
      <c r="B36" s="193"/>
      <c r="C36" s="193"/>
      <c r="D36" s="22"/>
      <c r="E36" s="194"/>
      <c r="F36" s="194"/>
      <c r="G36" s="194"/>
      <c r="H36" s="194"/>
      <c r="I36" s="194"/>
      <c r="J36" s="194"/>
      <c r="K36" s="194"/>
      <c r="L36" s="194"/>
      <c r="M36" s="185"/>
      <c r="N36" s="50"/>
      <c r="O36" s="116"/>
      <c r="P36" s="118"/>
      <c r="Q36" s="148"/>
      <c r="R36" s="4"/>
    </row>
    <row r="37" spans="1:18" ht="30" customHeight="1">
      <c r="A37" s="4"/>
      <c r="B37" s="194"/>
      <c r="C37" s="194"/>
      <c r="D37" s="185"/>
      <c r="E37" s="194"/>
      <c r="F37" s="194"/>
      <c r="G37" s="194"/>
      <c r="H37" s="194"/>
      <c r="I37" s="194"/>
      <c r="J37" s="194"/>
      <c r="K37" s="193"/>
      <c r="L37" s="193"/>
      <c r="M37" s="22"/>
      <c r="N37" s="51"/>
      <c r="O37" s="116"/>
      <c r="P37" s="104"/>
      <c r="Q37" s="143"/>
      <c r="R37" s="4"/>
    </row>
    <row r="38" spans="1:18" ht="30" customHeight="1">
      <c r="A38" s="4"/>
      <c r="B38" s="193"/>
      <c r="C38" s="193"/>
      <c r="D38" s="194"/>
      <c r="E38" s="194"/>
      <c r="F38" s="194"/>
      <c r="G38" s="194"/>
      <c r="H38" s="194"/>
      <c r="I38" s="194"/>
      <c r="J38" s="185"/>
      <c r="K38" s="194"/>
      <c r="L38" s="194"/>
      <c r="M38" s="185"/>
      <c r="N38" s="50"/>
      <c r="O38" s="112"/>
      <c r="P38" s="58"/>
      <c r="Q38" s="149"/>
      <c r="R38" s="4"/>
    </row>
    <row r="39" spans="1:18" ht="30" customHeight="1" thickBot="1">
      <c r="A39" s="4"/>
      <c r="B39" s="194"/>
      <c r="C39" s="194"/>
      <c r="D39" s="193"/>
      <c r="E39" s="193"/>
      <c r="F39" s="193"/>
      <c r="G39" s="193"/>
      <c r="H39" s="193"/>
      <c r="I39" s="193"/>
      <c r="J39" s="22"/>
      <c r="K39" s="194"/>
      <c r="L39" s="194"/>
      <c r="M39" s="185"/>
      <c r="N39" s="61"/>
      <c r="O39" s="112"/>
      <c r="P39" s="58"/>
      <c r="Q39" s="149"/>
      <c r="R39" s="4"/>
    </row>
    <row r="40" spans="1:18" ht="30" customHeight="1" thickTop="1" thickBot="1">
      <c r="A40" s="4"/>
      <c r="B40" s="194"/>
      <c r="C40" s="194"/>
      <c r="D40" s="194"/>
      <c r="E40" s="194"/>
      <c r="F40" s="194"/>
      <c r="G40" s="194"/>
      <c r="H40" s="194"/>
      <c r="I40" s="194"/>
      <c r="J40" s="185"/>
      <c r="K40" s="193"/>
      <c r="L40" s="193"/>
      <c r="M40" s="22"/>
      <c r="N40" s="60"/>
      <c r="O40" s="112"/>
      <c r="P40" s="58"/>
      <c r="Q40" s="149"/>
      <c r="R40" s="4"/>
    </row>
    <row r="41" spans="1:18" ht="30" customHeight="1" thickTop="1" thickBot="1">
      <c r="A41" s="4"/>
      <c r="B41" s="193"/>
      <c r="C41" s="193"/>
      <c r="D41" s="193"/>
      <c r="E41" s="193"/>
      <c r="F41" s="193"/>
      <c r="G41" s="193"/>
      <c r="H41" s="193"/>
      <c r="I41" s="193"/>
      <c r="J41" s="22"/>
      <c r="K41" s="194"/>
      <c r="L41" s="194"/>
      <c r="M41" s="185"/>
      <c r="N41" s="76"/>
      <c r="O41" s="117"/>
      <c r="P41" s="70"/>
      <c r="Q41" s="149"/>
      <c r="R41" s="4"/>
    </row>
    <row r="42" spans="1:18" ht="30" customHeight="1" thickTop="1">
      <c r="A42" s="4"/>
      <c r="B42" s="194"/>
      <c r="C42" s="194"/>
      <c r="D42" s="194"/>
      <c r="E42" s="194"/>
      <c r="F42" s="194"/>
      <c r="G42" s="194"/>
      <c r="H42" s="194"/>
      <c r="I42" s="194"/>
      <c r="J42" s="185"/>
      <c r="K42" s="194"/>
      <c r="L42" s="194"/>
      <c r="M42" s="185"/>
      <c r="R42" s="4"/>
    </row>
    <row r="43" spans="1:18" ht="3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</sheetData>
  <mergeCells count="79">
    <mergeCell ref="E35:F35"/>
    <mergeCell ref="G35:H35"/>
    <mergeCell ref="I35:J35"/>
    <mergeCell ref="E36:F36"/>
    <mergeCell ref="G36:H36"/>
    <mergeCell ref="I36:J36"/>
    <mergeCell ref="E33:F33"/>
    <mergeCell ref="G33:H33"/>
    <mergeCell ref="I33:J33"/>
    <mergeCell ref="E34:F34"/>
    <mergeCell ref="G34:H34"/>
    <mergeCell ref="I34:J34"/>
    <mergeCell ref="E31:F31"/>
    <mergeCell ref="G31:H31"/>
    <mergeCell ref="I31:J31"/>
    <mergeCell ref="E32:F32"/>
    <mergeCell ref="G32:H32"/>
    <mergeCell ref="I32:J32"/>
    <mergeCell ref="E29:F29"/>
    <mergeCell ref="G29:H29"/>
    <mergeCell ref="I29:J29"/>
    <mergeCell ref="E30:F30"/>
    <mergeCell ref="G30:H30"/>
    <mergeCell ref="I30:J30"/>
    <mergeCell ref="E27:F27"/>
    <mergeCell ref="G27:H27"/>
    <mergeCell ref="I27:J27"/>
    <mergeCell ref="E28:F28"/>
    <mergeCell ref="G28:H28"/>
    <mergeCell ref="I28:J28"/>
    <mergeCell ref="D5:D6"/>
    <mergeCell ref="H13:I13"/>
    <mergeCell ref="J13:K13"/>
    <mergeCell ref="E26:F26"/>
    <mergeCell ref="G26:H26"/>
    <mergeCell ref="I26:J2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K36:L36"/>
    <mergeCell ref="K37:L37"/>
    <mergeCell ref="K38:L38"/>
    <mergeCell ref="K39:L39"/>
    <mergeCell ref="K40:L40"/>
    <mergeCell ref="E37:F37"/>
    <mergeCell ref="G37:H37"/>
    <mergeCell ref="I37:J37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H42:I42"/>
    <mergeCell ref="B41:C41"/>
    <mergeCell ref="B42:C42"/>
    <mergeCell ref="K41:L41"/>
    <mergeCell ref="K42:L42"/>
    <mergeCell ref="D42:E42"/>
    <mergeCell ref="F42:G42"/>
  </mergeCells>
  <conditionalFormatting sqref="C15:C24">
    <cfRule type="expression" dxfId="22" priority="9">
      <formula>C15&lt;&gt;""</formula>
    </cfRule>
  </conditionalFormatting>
  <conditionalFormatting sqref="E5:J5">
    <cfRule type="expression" dxfId="21" priority="21" stopIfTrue="1">
      <formula>DAY(E5)&gt;8</formula>
    </cfRule>
  </conditionalFormatting>
  <conditionalFormatting sqref="E5:K10">
    <cfRule type="expression" dxfId="20" priority="22">
      <formula>VLOOKUP(DAY(E5),$O:$O,1,FALSE)=DAY(E5)</formula>
    </cfRule>
  </conditionalFormatting>
  <conditionalFormatting sqref="E9:K10">
    <cfRule type="expression" dxfId="19" priority="20" stopIfTrue="1">
      <formula>AND(DAY(E9)&gt;=1,DAY(E9)&lt;=15)</formula>
    </cfRule>
  </conditionalFormatting>
  <conditionalFormatting sqref="K18:M20 D19:J24 K24:M26 B25:J42 K30:M32 K36:M42">
    <cfRule type="expression" dxfId="18" priority="10">
      <formula>B18&lt;&gt;""</formula>
    </cfRule>
  </conditionalFormatting>
  <conditionalFormatting sqref="M6:M11">
    <cfRule type="expression" dxfId="17" priority="24">
      <formula>VLOOKUP(DAY(M6),AssignmentDays,1,FALSE)=DAY(M6)</formula>
    </cfRule>
  </conditionalFormatting>
  <conditionalFormatting sqref="M10:M11">
    <cfRule type="expression" dxfId="16" priority="23" stopIfTrue="1">
      <formula>AND(DAY(M10)&gt;=1,DAY(M10)&lt;=15)</formula>
    </cfRule>
  </conditionalFormatting>
  <dataValidations count="8">
    <dataValidation allowBlank="1" showInputMessage="1" showErrorMessage="1" prompt="Calendar year is automatically updated in this cell. To change the calendar year, to go cell D5 in Jan worksheet." sqref="D5:D6" xr:uid="{8B29FD06-E6AD-4F18-80F6-B2AC002ED038}"/>
    <dataValidation allowBlank="1" showInputMessage="1" showErrorMessage="1" prompt="If this row contains a number less than the previous number or row of numbers, then this row contains dates for the next calendar month" sqref="E10" xr:uid="{BAE798C1-BAD1-4557-BDD6-FC49E6CF0474}"/>
    <dataValidation allowBlank="1" showInputMessage="1" showErrorMessage="1" prompt="If this cell doesn’t contain the number 1, then it is a day from a previous month. Cells E5:K10 contain dates for the current month" sqref="E5" xr:uid="{3D42F081-5D03-48E3-9A03-2032CD143787}"/>
    <dataValidation allowBlank="1" showInputMessage="1" showErrorMessage="1" prompt="Enter the assignment details in this column that correspond to the weekday in column N and day in column O for the calendar month at left" sqref="N4:O4" xr:uid="{EE166929-5B2A-46D5-8EB8-7C55328C0C31}"/>
    <dataValidation allowBlank="1" showInputMessage="1" showErrorMessage="1" prompt="Cells E4:K4 contain weekdays" sqref="E4" xr:uid="{57061411-B062-42AF-8D3D-E4102C7FDED3}"/>
    <dataValidation allowBlank="1" showInputMessage="1" showErrorMessage="1" prompt="Calendar automatically highlights assignment list entries for the month. Darker fonts are assignments. Lighter fonts are days that belong to the previous or next month" sqref="D4" xr:uid="{3FF7FD73-05B6-4E48-BF45-6C193F762600}"/>
    <dataValidation allowBlank="1" showInputMessage="1" showErrorMessage="1" prompt="December calendar. Calendar year is automatically updated based on cell D5 in Jan sheet." sqref="A1" xr:uid="{4B110443-716C-4FC0-B9FF-9FC748028CE7}"/>
    <dataValidation allowBlank="1" showInputMessage="1" showErrorMessage="1" prompt="Weekdays are in this row, from Monday to Friday" sqref="D16" xr:uid="{94FE84DC-B69A-43C6-82B1-8DF49428A1F2}"/>
  </dataValidations>
  <printOptions horizontalCentered="1" verticalCentered="1"/>
  <pageMargins left="0.25" right="0.25" top="0.5" bottom="0.5" header="0.3" footer="0.3"/>
  <pageSetup scale="47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ED1A8A7-93A3-4F03-AFAA-A6427108A393}">
            <xm:f>List!$A$8=O2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" id="{93EE6CF9-A730-43BE-B591-4A56C273E783}">
            <xm:f>List!$A$9=O2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3" id="{75500C51-49A5-4597-9E13-5D94E728BE61}">
            <xm:f>List!$A$7=O2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4" id="{536E20E3-36C6-4468-801E-248F3B0B2F24}">
            <xm:f>List!$A$6=O2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5" id="{8CC90580-F21F-4214-9744-48929B538330}">
            <xm:f>List!$A$5=O2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6" id="{3CE28376-795C-4597-AF6A-E42B0829403B}">
            <xm:f>List!$A$4=O2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7" id="{03B95A17-7D60-43FA-B8A6-EA44A0325760}">
            <xm:f>List!$A$3=O2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8" id="{62FDE6B4-902A-41BB-A748-76D5EF9BE385}">
            <xm:f>List!$A$2=O2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O2:O8</xm:sqref>
        </x14:conditionalFormatting>
        <x14:conditionalFormatting xmlns:xm="http://schemas.microsoft.com/office/excel/2006/main">
          <x14:cfRule type="expression" priority="12" id="{3FA8E9AC-EBC3-42A5-A5C5-64026F1D4D7D}">
            <xm:f>List!$A$8=O10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3" id="{D52768B9-749D-4FA2-A395-1F2B747AA96E}">
            <xm:f>List!$A$9=O10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4" id="{705DF608-C629-4B0F-8A13-801CEED065C9}">
            <xm:f>List!$A$7=O10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15" id="{D278CD08-7B09-4929-92D8-DAD4CD806617}">
            <xm:f>List!$A$6=O10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6" id="{6A858AD1-81E4-4D24-AD02-52ED5CBE6FDB}">
            <xm:f>List!$A$5=O10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17" id="{C01BDF20-8AE1-4A3E-843C-88FAAEC8B452}">
            <xm:f>List!$A$4=O10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18" id="{0EB2DCFD-B082-40C4-9311-1778639B75A7}">
            <xm:f>List!$A$3=O10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9" id="{FA5072DA-7BE6-4CC1-B978-681F3932A311}">
            <xm:f>List!$A$2=O10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O10:O16 O18:O25 O27:O31 O33 O35 O37:O42 O44:O1048576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11A60-FE1C-4702-92EA-079F9DB593CB}">
          <x14:formula1>
            <xm:f>List!$A$2:$A$11</xm:f>
          </x14:formula1>
          <xm:sqref>O19:O27 O35:O37 O29:O31 O33 O14:O16 O12 O10 O7:O8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72645-F608-4502-9E9B-0C66DAE619CF}">
  <dimension ref="A1:B9"/>
  <sheetViews>
    <sheetView workbookViewId="0">
      <selection activeCell="G16" sqref="G16"/>
    </sheetView>
  </sheetViews>
  <sheetFormatPr defaultRowHeight="14.25"/>
  <cols>
    <col min="1" max="1" width="32" customWidth="1"/>
    <col min="2" max="2" width="34.625" customWidth="1"/>
  </cols>
  <sheetData>
    <row r="1" spans="1:2">
      <c r="A1" t="s">
        <v>25</v>
      </c>
    </row>
    <row r="2" spans="1:2">
      <c r="A2" s="115" t="s">
        <v>29</v>
      </c>
      <c r="B2" s="115"/>
    </row>
    <row r="3" spans="1:2">
      <c r="A3" s="115" t="s">
        <v>26</v>
      </c>
    </row>
    <row r="4" spans="1:2">
      <c r="A4" s="115" t="s">
        <v>31</v>
      </c>
    </row>
    <row r="5" spans="1:2">
      <c r="A5" s="115" t="s">
        <v>27</v>
      </c>
    </row>
    <row r="6" spans="1:2">
      <c r="A6" s="115" t="s">
        <v>30</v>
      </c>
    </row>
    <row r="7" spans="1:2">
      <c r="A7" s="115" t="s">
        <v>37</v>
      </c>
    </row>
    <row r="8" spans="1:2">
      <c r="A8" t="s">
        <v>38</v>
      </c>
    </row>
    <row r="9" spans="1:2">
      <c r="A9" s="115" t="s">
        <v>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4506668294322"/>
    <pageSetUpPr fitToPage="1"/>
  </sheetPr>
  <dimension ref="A1:R43"/>
  <sheetViews>
    <sheetView showGridLines="0" tabSelected="1" topLeftCell="A28" zoomScale="70" zoomScaleNormal="70" zoomScalePageLayoutView="84" workbookViewId="0">
      <selection activeCell="K15" sqref="K15"/>
    </sheetView>
  </sheetViews>
  <sheetFormatPr defaultColWidth="8.625" defaultRowHeight="30" customHeight="1"/>
  <cols>
    <col min="1" max="2" width="5.625" customWidth="1"/>
    <col min="3" max="3" width="2.625" customWidth="1"/>
    <col min="4" max="4" width="24.625" customWidth="1"/>
    <col min="5" max="10" width="12.625" customWidth="1"/>
    <col min="11" max="11" width="24.625" customWidth="1"/>
    <col min="12" max="12" width="2.625" customWidth="1"/>
    <col min="13" max="13" width="5.625" style="1" customWidth="1"/>
    <col min="14" max="14" width="75.5" style="2" customWidth="1"/>
    <col min="15" max="15" width="28.625" style="2" customWidth="1"/>
    <col min="16" max="16" width="78.875" style="3" customWidth="1"/>
    <col min="17" max="17" width="8.25" style="3" customWidth="1"/>
    <col min="18" max="18" width="5.625" customWidth="1"/>
  </cols>
  <sheetData>
    <row r="1" spans="1:18" ht="30" customHeight="1">
      <c r="A1" s="77"/>
      <c r="B1" s="77"/>
      <c r="C1" s="77"/>
      <c r="D1" s="78"/>
      <c r="E1" s="77"/>
      <c r="F1" s="77"/>
      <c r="G1" s="77"/>
      <c r="H1" s="77"/>
      <c r="I1" s="77"/>
      <c r="J1" s="77"/>
      <c r="K1" s="77"/>
      <c r="L1" s="77"/>
      <c r="M1" s="102"/>
      <c r="N1" s="82"/>
      <c r="O1" s="82"/>
      <c r="P1" s="82"/>
      <c r="Q1" s="82"/>
      <c r="R1" s="77"/>
    </row>
    <row r="2" spans="1:18" ht="30" customHeight="1" thickBot="1">
      <c r="A2" s="97"/>
      <c r="D2" s="6"/>
      <c r="E2" s="6"/>
      <c r="F2" s="6"/>
      <c r="G2" s="6"/>
      <c r="H2" s="6"/>
      <c r="I2" s="6"/>
      <c r="J2" s="6"/>
      <c r="K2" s="6"/>
      <c r="N2" s="103"/>
      <c r="O2" s="106"/>
      <c r="P2" s="40"/>
      <c r="Q2" s="40"/>
      <c r="R2" s="84"/>
    </row>
    <row r="3" spans="1:18" ht="30" customHeight="1" thickTop="1" thickBot="1">
      <c r="A3" s="97"/>
      <c r="C3" s="7"/>
      <c r="D3" s="8"/>
      <c r="K3" s="8"/>
      <c r="L3" s="28"/>
      <c r="N3" s="41"/>
      <c r="O3" s="107"/>
      <c r="P3" s="42"/>
      <c r="Q3" s="140"/>
      <c r="R3" s="84"/>
    </row>
    <row r="4" spans="1:18" ht="35.1" customHeight="1" thickTop="1">
      <c r="A4" s="97"/>
      <c r="C4" s="9"/>
      <c r="D4" s="10" t="s">
        <v>5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Q4" s="141"/>
      <c r="R4" s="84"/>
    </row>
    <row r="5" spans="1:18" ht="30" customHeight="1">
      <c r="A5" s="98"/>
      <c r="B5" s="12"/>
      <c r="C5" s="13"/>
      <c r="D5" s="195">
        <f ca="1">IF(MONTH(TODAY())=12,YEAR(TODAY())+1,YEAR(TODAY()))</f>
        <v>2026</v>
      </c>
      <c r="E5" s="99">
        <f ca="1">IF(DAY(JanSun1)=1,JanSun1-6,JanSun1+1)</f>
        <v>46020</v>
      </c>
      <c r="F5" s="99">
        <f ca="1">IF(DAY(JanSun1)=1,JanSun1-5,JanSun1+2)</f>
        <v>46021</v>
      </c>
      <c r="G5" s="99">
        <f ca="1">IF(DAY(JanSun1)=1,JanSun1-4,JanSun1+3)</f>
        <v>46022</v>
      </c>
      <c r="H5" s="99">
        <f ca="1">IF(DAY(JanSun1)=1,JanSun1-3,JanSun1+4)</f>
        <v>46023</v>
      </c>
      <c r="I5" s="99">
        <f ca="1">IF(DAY(JanSun1)=1,JanSun1-2,JanSun1+5)</f>
        <v>46024</v>
      </c>
      <c r="J5" s="99">
        <f ca="1">IF(DAY(JanSun1)=1,JanSun1-1,JanSun1+6)</f>
        <v>46025</v>
      </c>
      <c r="K5" s="99">
        <f ca="1">IF(DAY(JanSun1)=1,JanSun1,JanSun1+7)</f>
        <v>46026</v>
      </c>
      <c r="L5" s="30"/>
      <c r="M5" s="45"/>
      <c r="N5" s="46"/>
      <c r="O5" s="109"/>
      <c r="P5" s="47"/>
      <c r="Q5" s="140"/>
      <c r="R5" s="84"/>
    </row>
    <row r="6" spans="1:18" ht="30" customHeight="1">
      <c r="A6" s="98"/>
      <c r="B6" s="12"/>
      <c r="C6" s="13"/>
      <c r="D6" s="195"/>
      <c r="E6" s="99">
        <f ca="1">IF(DAY(JanSun1)=1,JanSun1+1,JanSun1+8)</f>
        <v>46027</v>
      </c>
      <c r="F6" s="99">
        <f ca="1">IF(DAY(JanSun1)=1,JanSun1+2,JanSun1+9)</f>
        <v>46028</v>
      </c>
      <c r="G6" s="99">
        <f ca="1">IF(DAY(JanSun1)=1,JanSun1+3,JanSun1+10)</f>
        <v>46029</v>
      </c>
      <c r="H6" s="99">
        <f ca="1">IF(DAY(JanSun1)=1,JanSun1+4,JanSun1+11)</f>
        <v>46030</v>
      </c>
      <c r="I6" s="99">
        <f ca="1">IF(DAY(JanSun1)=1,JanSun1+5,JanSun1+12)</f>
        <v>46031</v>
      </c>
      <c r="J6" s="99">
        <f ca="1">IF(DAY(JanSun1)=1,JanSun1+6,JanSun1+13)</f>
        <v>46032</v>
      </c>
      <c r="K6" s="99">
        <f ca="1">IF(DAY(JanSun1)=1,JanSun1+7,JanSun1+14)</f>
        <v>46033</v>
      </c>
      <c r="L6" s="30"/>
      <c r="M6" s="48"/>
      <c r="N6" s="180" t="s">
        <v>50</v>
      </c>
      <c r="O6" s="110" t="s">
        <v>25</v>
      </c>
      <c r="P6" s="111" t="s">
        <v>14</v>
      </c>
      <c r="Q6" s="142"/>
      <c r="R6" s="84"/>
    </row>
    <row r="7" spans="1:18" ht="30" customHeight="1">
      <c r="A7" s="98"/>
      <c r="B7" s="12"/>
      <c r="C7" s="13"/>
      <c r="D7" s="14"/>
      <c r="E7" s="99">
        <f ca="1">IF(DAY(JanSun1)=1,JanSun1+8,JanSun1+15)</f>
        <v>46034</v>
      </c>
      <c r="F7" s="99">
        <f ca="1">IF(DAY(JanSun1)=1,JanSun1+9,JanSun1+16)</f>
        <v>46035</v>
      </c>
      <c r="G7" s="99">
        <f ca="1">IF(DAY(JanSun1)=1,JanSun1+10,JanSun1+17)</f>
        <v>46036</v>
      </c>
      <c r="H7" s="99">
        <f ca="1">IF(DAY(JanSun1)=1,JanSun1+11,JanSun1+18)</f>
        <v>46037</v>
      </c>
      <c r="I7" s="99">
        <f ca="1">IF(DAY(JanSun1)=1,JanSun1+12,JanSun1+19)</f>
        <v>46038</v>
      </c>
      <c r="J7" s="99">
        <f ca="1">IF(DAY(JanSun1)=1,JanSun1+13,JanSun1+20)</f>
        <v>46039</v>
      </c>
      <c r="K7" s="99">
        <f ca="1">IF(DAY(JanSun1)=1,JanSun1+14,JanSun1+21)</f>
        <v>46040</v>
      </c>
      <c r="L7" s="30"/>
      <c r="M7" s="48"/>
      <c r="N7" s="89" t="s">
        <v>51</v>
      </c>
      <c r="O7" s="116"/>
      <c r="P7" s="104"/>
      <c r="Q7" s="143"/>
      <c r="R7" s="84"/>
    </row>
    <row r="8" spans="1:18" ht="30" customHeight="1">
      <c r="A8" s="98"/>
      <c r="B8" s="12"/>
      <c r="C8" s="13"/>
      <c r="D8" s="14"/>
      <c r="E8" s="100">
        <f ca="1">IF(DAY(JanSun1)=1,JanSun1+15,JanSun1+22)</f>
        <v>46041</v>
      </c>
      <c r="F8" s="100">
        <f ca="1">IF(DAY(JanSun1)=1,JanSun1+16,JanSun1+23)</f>
        <v>46042</v>
      </c>
      <c r="G8" s="100">
        <f ca="1">IF(DAY(JanSun1)=1,JanSun1+17,JanSun1+24)</f>
        <v>46043</v>
      </c>
      <c r="H8" s="100">
        <f ca="1">IF(DAY(JanSun1)=1,JanSun1+18,JanSun1+25)</f>
        <v>46044</v>
      </c>
      <c r="I8" s="100">
        <f ca="1">IF(DAY(JanSun1)=1,JanSun1+19,JanSun1+26)</f>
        <v>46045</v>
      </c>
      <c r="J8" s="100">
        <f ca="1">IF(DAY(JanSun1)=1,JanSun1+20,JanSun1+27)</f>
        <v>46046</v>
      </c>
      <c r="K8" s="100">
        <f ca="1">IF(DAY(JanSun1)=1,JanSun1+21,JanSun1+28)</f>
        <v>46047</v>
      </c>
      <c r="L8" s="30"/>
      <c r="M8" s="48"/>
      <c r="N8" s="89"/>
      <c r="O8" s="113"/>
      <c r="P8" s="104"/>
      <c r="Q8" s="144"/>
      <c r="R8" s="84"/>
    </row>
    <row r="9" spans="1:18" ht="30" customHeight="1">
      <c r="A9" s="98"/>
      <c r="B9" s="12"/>
      <c r="C9" s="13"/>
      <c r="D9" s="14"/>
      <c r="E9" s="99">
        <f ca="1">IF(DAY(JanSun1)=1,JanSun1+22,JanSun1+29)</f>
        <v>46048</v>
      </c>
      <c r="F9" s="99">
        <f ca="1">IF(DAY(JanSun1)=1,JanSun1+23,JanSun1+30)</f>
        <v>46049</v>
      </c>
      <c r="G9" s="99">
        <f ca="1">IF(DAY(JanSun1)=1,JanSun1+24,JanSun1+31)</f>
        <v>46050</v>
      </c>
      <c r="H9" s="99">
        <f ca="1">IF(DAY(JanSun1)=1,JanSun1+25,JanSun1+32)</f>
        <v>46051</v>
      </c>
      <c r="I9" s="99">
        <f ca="1">IF(DAY(JanSun1)=1,JanSun1+26,JanSun1+33)</f>
        <v>46052</v>
      </c>
      <c r="J9" s="99">
        <f ca="1">IF(DAY(JanSun1)=1,JanSun1+27,JanSun1+34)</f>
        <v>46053</v>
      </c>
      <c r="K9" s="99">
        <f ca="1">IF(DAY(JanSun1)=1,JanSun1+28,JanSun1+35)</f>
        <v>46054</v>
      </c>
      <c r="L9" s="30"/>
      <c r="M9" s="52"/>
      <c r="N9" s="50"/>
      <c r="O9" s="160"/>
      <c r="P9" s="58"/>
      <c r="Q9" s="145"/>
      <c r="R9" s="84"/>
    </row>
    <row r="10" spans="1:18" ht="30" customHeight="1">
      <c r="A10" s="98"/>
      <c r="B10" s="12"/>
      <c r="C10" s="13"/>
      <c r="D10" s="14"/>
      <c r="E10" s="101">
        <f ca="1">IF(DAY(JanSun1)=1,JanSun1+29,JanSun1+36)</f>
        <v>46055</v>
      </c>
      <c r="F10" s="101">
        <f ca="1">IF(DAY(JanSun1)=1,JanSun1+30,JanSun1+37)</f>
        <v>46056</v>
      </c>
      <c r="G10" s="101">
        <f ca="1">IF(DAY(JanSun1)=1,JanSun1+31,JanSun1+38)</f>
        <v>46057</v>
      </c>
      <c r="H10" s="101">
        <f ca="1">IF(DAY(JanSun1)=1,JanSun1+32,JanSun1+39)</f>
        <v>46058</v>
      </c>
      <c r="I10" s="101">
        <f ca="1">IF(DAY(JanSun1)=1,JanSun1+33,JanSun1+40)</f>
        <v>46059</v>
      </c>
      <c r="J10" s="101">
        <f ca="1">IF(DAY(JanSun1)=1,JanSun1+34,JanSun1+41)</f>
        <v>46060</v>
      </c>
      <c r="K10" s="101">
        <f ca="1">IF(DAY(JanSun1)=1,JanSun1+35,JanSun1+42)</f>
        <v>46061</v>
      </c>
      <c r="L10" s="31"/>
      <c r="M10" s="48"/>
      <c r="N10" s="51"/>
      <c r="O10" s="113"/>
      <c r="P10" s="161"/>
      <c r="Q10" s="146"/>
      <c r="R10" s="84"/>
    </row>
    <row r="11" spans="1:18" ht="30" customHeight="1" thickBot="1">
      <c r="A11" s="98"/>
      <c r="B11" s="12"/>
      <c r="C11" s="15"/>
      <c r="D11" s="6"/>
      <c r="K11" s="6"/>
      <c r="L11" s="32"/>
      <c r="M11" s="53"/>
      <c r="N11" s="51"/>
      <c r="O11" s="113"/>
      <c r="P11" s="161"/>
      <c r="Q11" s="146"/>
      <c r="R11" s="84"/>
    </row>
    <row r="12" spans="1:18" ht="30" customHeight="1" thickTop="1">
      <c r="A12" s="98"/>
      <c r="B12" s="12"/>
      <c r="C12" s="12"/>
      <c r="D12" s="16"/>
      <c r="E12" s="8"/>
      <c r="F12" s="8"/>
      <c r="G12" s="8"/>
      <c r="H12" s="8"/>
      <c r="I12" s="8"/>
      <c r="J12" s="8"/>
      <c r="K12" s="8"/>
      <c r="N12" s="54"/>
      <c r="O12" s="113"/>
      <c r="P12" s="118"/>
      <c r="Q12" s="147"/>
      <c r="R12" s="84"/>
    </row>
    <row r="13" spans="1:18" ht="35.1" customHeight="1">
      <c r="A13" s="98"/>
      <c r="B13" s="12"/>
      <c r="C13" s="12"/>
      <c r="H13" s="196"/>
      <c r="I13" s="196"/>
      <c r="J13" s="196"/>
      <c r="K13" s="196"/>
      <c r="L13" s="33"/>
      <c r="N13" s="54"/>
      <c r="O13" s="116"/>
      <c r="P13" s="118"/>
      <c r="Q13" s="148"/>
      <c r="R13" s="84"/>
    </row>
    <row r="14" spans="1:18" ht="41.1" customHeight="1">
      <c r="A14" s="98"/>
      <c r="B14" s="12"/>
      <c r="L14" s="33"/>
      <c r="M14" s="55"/>
      <c r="N14" s="50"/>
      <c r="O14" s="116"/>
      <c r="P14" s="118"/>
      <c r="Q14" s="148"/>
      <c r="R14" s="84"/>
    </row>
    <row r="15" spans="1:18" ht="30" customHeight="1">
      <c r="A15" s="98"/>
      <c r="B15" s="12"/>
      <c r="M15" s="55"/>
      <c r="N15" s="51"/>
      <c r="O15" s="116"/>
      <c r="P15" s="118"/>
      <c r="Q15" s="147"/>
      <c r="R15" s="84"/>
    </row>
    <row r="16" spans="1:18" ht="30" customHeight="1">
      <c r="A16" s="81"/>
      <c r="B16" s="20"/>
      <c r="M16" s="57"/>
      <c r="N16" s="105"/>
      <c r="O16" s="113"/>
      <c r="P16" s="104"/>
      <c r="Q16" s="144"/>
      <c r="R16" s="84"/>
    </row>
    <row r="17" spans="1:18" ht="30" customHeight="1">
      <c r="A17" s="81"/>
      <c r="B17" s="80"/>
      <c r="N17" s="54"/>
      <c r="O17" s="113"/>
      <c r="P17" s="104"/>
      <c r="Q17" s="144"/>
      <c r="R17" s="84"/>
    </row>
    <row r="18" spans="1:18" ht="30" customHeight="1">
      <c r="A18" s="81"/>
      <c r="B18" s="80"/>
      <c r="M18" s="59"/>
      <c r="N18" s="54"/>
      <c r="O18" s="162"/>
      <c r="P18" s="56"/>
      <c r="Q18" s="142"/>
      <c r="R18" s="84"/>
    </row>
    <row r="19" spans="1:18" ht="30" customHeight="1">
      <c r="A19" s="81"/>
      <c r="B19" s="80"/>
      <c r="N19" s="54"/>
      <c r="O19" s="113"/>
      <c r="P19" s="104"/>
      <c r="Q19" s="143"/>
      <c r="R19" s="84"/>
    </row>
    <row r="20" spans="1:18" ht="30" customHeight="1">
      <c r="A20" s="81"/>
      <c r="B20" s="80"/>
      <c r="N20" s="114"/>
      <c r="O20" s="113"/>
      <c r="P20" s="104"/>
      <c r="Q20" s="144"/>
      <c r="R20" s="84"/>
    </row>
    <row r="21" spans="1:18" ht="30" customHeight="1">
      <c r="A21" s="81"/>
      <c r="B21" s="80"/>
      <c r="N21" s="50"/>
      <c r="O21" s="160"/>
      <c r="P21" s="58"/>
      <c r="Q21" s="145"/>
      <c r="R21" s="84"/>
    </row>
    <row r="22" spans="1:18" ht="48" customHeight="1">
      <c r="A22" s="81"/>
      <c r="B22" s="80"/>
      <c r="N22" s="51"/>
      <c r="O22" s="113"/>
      <c r="P22" s="161"/>
      <c r="Q22" s="146"/>
      <c r="R22" s="84"/>
    </row>
    <row r="23" spans="1:18" ht="30" customHeight="1">
      <c r="A23" s="81"/>
      <c r="B23" s="80"/>
      <c r="N23" s="54"/>
      <c r="O23" s="113"/>
      <c r="P23" s="161"/>
      <c r="Q23" s="146"/>
      <c r="R23" s="84"/>
    </row>
    <row r="24" spans="1:18" ht="45.95" customHeight="1">
      <c r="A24" s="81"/>
      <c r="B24" s="80"/>
      <c r="N24" s="51"/>
      <c r="O24" s="113"/>
      <c r="P24" s="118"/>
      <c r="Q24" s="147"/>
      <c r="R24" s="84"/>
    </row>
    <row r="25" spans="1:18" ht="30" customHeight="1">
      <c r="A25" s="81"/>
      <c r="B25" s="80"/>
      <c r="N25" s="54"/>
      <c r="O25" s="116"/>
      <c r="P25" s="118"/>
      <c r="Q25" s="148"/>
      <c r="R25" s="84"/>
    </row>
    <row r="26" spans="1:18" ht="30" customHeight="1">
      <c r="A26" s="81"/>
      <c r="B26" s="80"/>
      <c r="N26" s="50"/>
      <c r="O26" s="116"/>
      <c r="P26" s="118"/>
      <c r="Q26" s="148"/>
      <c r="R26" s="84"/>
    </row>
    <row r="27" spans="1:18" ht="47.1" customHeight="1">
      <c r="A27" s="81"/>
      <c r="B27" s="80"/>
      <c r="N27" s="51"/>
      <c r="O27" s="113"/>
      <c r="P27" s="104"/>
      <c r="Q27" s="143"/>
      <c r="R27" s="84"/>
    </row>
    <row r="28" spans="1:18" ht="42" customHeight="1">
      <c r="A28" s="81"/>
      <c r="B28" s="80"/>
      <c r="M28"/>
      <c r="N28" s="51"/>
      <c r="O28" s="162"/>
      <c r="P28" s="56"/>
      <c r="Q28" s="142"/>
      <c r="R28" s="84"/>
    </row>
    <row r="29" spans="1:18" ht="30" customHeight="1">
      <c r="A29" s="81"/>
      <c r="B29" s="80"/>
      <c r="M29"/>
      <c r="N29" s="51"/>
      <c r="O29" s="113"/>
      <c r="P29" s="104"/>
      <c r="Q29" s="143"/>
      <c r="R29" s="84"/>
    </row>
    <row r="30" spans="1:18" ht="45.95" customHeight="1">
      <c r="A30" s="81"/>
      <c r="B30" s="80"/>
      <c r="M30"/>
      <c r="N30" s="114"/>
      <c r="O30" s="113"/>
      <c r="P30" s="104"/>
      <c r="Q30" s="143"/>
      <c r="R30" s="84"/>
    </row>
    <row r="31" spans="1:18" ht="30" customHeight="1">
      <c r="A31" s="81"/>
      <c r="B31" s="80"/>
      <c r="M31"/>
      <c r="N31" s="50"/>
      <c r="O31" s="160"/>
      <c r="P31" s="104"/>
      <c r="Q31" s="144"/>
      <c r="R31" s="84"/>
    </row>
    <row r="32" spans="1:18" ht="30" customHeight="1">
      <c r="A32" s="81"/>
      <c r="B32" s="80"/>
      <c r="M32"/>
      <c r="N32" s="51"/>
      <c r="O32" s="160"/>
      <c r="P32" s="104"/>
      <c r="Q32" s="144"/>
      <c r="R32" s="84"/>
    </row>
    <row r="33" spans="1:18" ht="30" customHeight="1">
      <c r="A33" s="81"/>
      <c r="B33" s="80"/>
      <c r="E33" s="193"/>
      <c r="F33" s="193"/>
      <c r="G33" s="193"/>
      <c r="H33" s="193"/>
      <c r="I33" s="193"/>
      <c r="J33" s="193"/>
      <c r="N33" s="51"/>
      <c r="O33" s="113"/>
      <c r="P33" s="118"/>
      <c r="Q33" s="148"/>
      <c r="R33" s="84"/>
    </row>
    <row r="34" spans="1:18" ht="30" customHeight="1">
      <c r="A34" s="81"/>
      <c r="B34" s="80"/>
      <c r="E34" s="194"/>
      <c r="F34" s="194"/>
      <c r="G34" s="194"/>
      <c r="H34" s="194"/>
      <c r="I34" s="194"/>
      <c r="J34" s="194"/>
      <c r="N34" s="54"/>
      <c r="O34" s="113"/>
      <c r="P34" s="118"/>
      <c r="Q34" s="148"/>
      <c r="R34" s="84"/>
    </row>
    <row r="35" spans="1:18" ht="30" customHeight="1">
      <c r="A35" s="81"/>
      <c r="B35" s="80"/>
      <c r="E35" s="193"/>
      <c r="F35" s="193"/>
      <c r="G35" s="193"/>
      <c r="H35" s="193"/>
      <c r="I35" s="193"/>
      <c r="J35" s="193"/>
      <c r="N35" s="54"/>
      <c r="O35" s="116"/>
      <c r="P35" s="118"/>
      <c r="Q35" s="148"/>
      <c r="R35" s="84"/>
    </row>
    <row r="36" spans="1:18" ht="30" customHeight="1">
      <c r="A36" s="81"/>
      <c r="B36" s="20"/>
      <c r="E36" s="194"/>
      <c r="F36" s="194"/>
      <c r="G36" s="194"/>
      <c r="H36" s="194"/>
      <c r="I36" s="194"/>
      <c r="J36" s="194"/>
      <c r="N36" s="50"/>
      <c r="O36" s="116"/>
      <c r="P36" s="118"/>
      <c r="Q36" s="148"/>
      <c r="R36" s="84"/>
    </row>
    <row r="37" spans="1:18" ht="30" customHeight="1">
      <c r="A37" s="81"/>
      <c r="B37" s="80"/>
      <c r="E37" s="194"/>
      <c r="F37" s="194"/>
      <c r="G37" s="194"/>
      <c r="H37" s="194"/>
      <c r="I37" s="194"/>
      <c r="J37" s="194"/>
      <c r="N37" s="51"/>
      <c r="O37" s="116"/>
      <c r="P37" s="104"/>
      <c r="Q37" s="143"/>
      <c r="R37" s="84"/>
    </row>
    <row r="38" spans="1:18" ht="30" customHeight="1">
      <c r="A38" s="81"/>
      <c r="B38" s="80"/>
      <c r="E38" s="193"/>
      <c r="F38" s="193"/>
      <c r="G38" s="193"/>
      <c r="H38" s="193"/>
      <c r="I38" s="193"/>
      <c r="J38" s="193"/>
      <c r="N38" s="50"/>
      <c r="O38" s="112"/>
      <c r="P38" s="58"/>
      <c r="Q38" s="149"/>
      <c r="R38" s="84"/>
    </row>
    <row r="39" spans="1:18" ht="30" customHeight="1" thickBot="1">
      <c r="A39" s="81"/>
      <c r="B39" s="80"/>
      <c r="E39" s="194"/>
      <c r="F39" s="194"/>
      <c r="G39" s="194"/>
      <c r="H39" s="194"/>
      <c r="I39" s="194"/>
      <c r="J39" s="194"/>
      <c r="K39" s="23"/>
      <c r="M39"/>
      <c r="N39" s="61"/>
      <c r="O39" s="112"/>
      <c r="P39" s="58"/>
      <c r="Q39" s="149"/>
      <c r="R39" s="84"/>
    </row>
    <row r="40" spans="1:18" ht="30" customHeight="1" thickTop="1" thickBot="1">
      <c r="A40" s="81"/>
      <c r="B40" s="80"/>
      <c r="E40" s="194"/>
      <c r="F40" s="194"/>
      <c r="G40" s="194"/>
      <c r="H40" s="194"/>
      <c r="I40" s="194"/>
      <c r="J40" s="194"/>
      <c r="K40" s="193"/>
      <c r="L40" s="193"/>
      <c r="M40"/>
      <c r="N40" s="60"/>
      <c r="O40" s="112"/>
      <c r="P40" s="58"/>
      <c r="Q40" s="149"/>
      <c r="R40" s="84"/>
    </row>
    <row r="41" spans="1:18" ht="30" customHeight="1" thickTop="1" thickBot="1">
      <c r="A41" s="81"/>
      <c r="C41" s="193"/>
      <c r="D41" s="193"/>
      <c r="G41" s="194"/>
      <c r="H41" s="194"/>
      <c r="I41" s="194"/>
      <c r="J41" s="194"/>
      <c r="K41" s="194"/>
      <c r="L41" s="194"/>
      <c r="M41"/>
      <c r="N41" s="76"/>
      <c r="O41" s="117"/>
      <c r="P41" s="70"/>
      <c r="Q41" s="149"/>
      <c r="R41" s="84"/>
    </row>
    <row r="42" spans="1:18" ht="30" customHeight="1" thickTop="1">
      <c r="A42" s="81"/>
      <c r="B42" s="80"/>
      <c r="G42" s="194"/>
      <c r="H42" s="194"/>
      <c r="I42" s="194"/>
      <c r="J42" s="194"/>
      <c r="K42" s="193"/>
      <c r="L42" s="193"/>
      <c r="R42" s="84"/>
    </row>
    <row r="43" spans="1:18" ht="30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</row>
  </sheetData>
  <mergeCells count="35">
    <mergeCell ref="D5:D6"/>
    <mergeCell ref="E40:F40"/>
    <mergeCell ref="G40:H40"/>
    <mergeCell ref="I40:J40"/>
    <mergeCell ref="E36:F36"/>
    <mergeCell ref="G36:H36"/>
    <mergeCell ref="I36:J36"/>
    <mergeCell ref="E37:F37"/>
    <mergeCell ref="G37:H37"/>
    <mergeCell ref="I37:J37"/>
    <mergeCell ref="E34:F34"/>
    <mergeCell ref="G34:H34"/>
    <mergeCell ref="E38:F38"/>
    <mergeCell ref="G38:H38"/>
    <mergeCell ref="I38:J38"/>
    <mergeCell ref="E39:F39"/>
    <mergeCell ref="G39:H39"/>
    <mergeCell ref="I39:J39"/>
    <mergeCell ref="H13:I13"/>
    <mergeCell ref="J13:K13"/>
    <mergeCell ref="G35:H35"/>
    <mergeCell ref="I35:J35"/>
    <mergeCell ref="E33:F33"/>
    <mergeCell ref="G33:H33"/>
    <mergeCell ref="I33:J33"/>
    <mergeCell ref="I34:J34"/>
    <mergeCell ref="E35:F35"/>
    <mergeCell ref="C41:D41"/>
    <mergeCell ref="K40:L40"/>
    <mergeCell ref="K41:L41"/>
    <mergeCell ref="K42:L42"/>
    <mergeCell ref="G41:H41"/>
    <mergeCell ref="I41:J41"/>
    <mergeCell ref="G42:H42"/>
    <mergeCell ref="I42:J42"/>
  </mergeCells>
  <conditionalFormatting sqref="C41:D41">
    <cfRule type="expression" dxfId="310" priority="1">
      <formula>C41&lt;&gt;""</formula>
    </cfRule>
  </conditionalFormatting>
  <conditionalFormatting sqref="E5:J5">
    <cfRule type="expression" dxfId="309" priority="26" stopIfTrue="1">
      <formula>DAY(E5)&gt;8</formula>
    </cfRule>
  </conditionalFormatting>
  <conditionalFormatting sqref="E33:J42 K39 K40:L42">
    <cfRule type="expression" dxfId="308" priority="2">
      <formula>E33&lt;&gt;""</formula>
    </cfRule>
  </conditionalFormatting>
  <conditionalFormatting sqref="E5:K10">
    <cfRule type="expression" dxfId="307" priority="60">
      <formula>VLOOKUP(DAY(E5),#REF!,1,FALSE)=DAY(E5)</formula>
    </cfRule>
  </conditionalFormatting>
  <conditionalFormatting sqref="E9:K10 M10:M11">
    <cfRule type="expression" dxfId="306" priority="25" stopIfTrue="1">
      <formula>AND(DAY(E9)&gt;=1,DAY(E9)&lt;=15)</formula>
    </cfRule>
  </conditionalFormatting>
  <dataValidations count="9">
    <dataValidation allowBlank="1" showInputMessage="1" showErrorMessage="1" prompt="Prepare a weekly schedule &amp; create an assignment list in this worksheet. Assignment list entries are automatically highlighted in monthly calendar. Enter calendar year in cell D5" sqref="A1" xr:uid="{00000000-0002-0000-0200-000000000000}"/>
    <dataValidation allowBlank="1" showInputMessage="1" showErrorMessage="1" prompt="Calendar automatically highlights assignment list entries for the month. Darker fonts are assignments. Lighter fonts are days that belong to the previous or next month" sqref="D4" xr:uid="{00000000-0002-0000-0200-000001000000}"/>
    <dataValidation allowBlank="1" showInputMessage="1" showErrorMessage="1" prompt="Cells E4:K4 contain weekdays" sqref="E4" xr:uid="{00000000-0002-0000-0200-000002000000}"/>
    <dataValidation allowBlank="1" showInputMessage="1" showErrorMessage="1" prompt="Enter the assignment details in this column that correspond to the weekday in column N and day in column O for the calendar month at left" sqref="N4:O4" xr:uid="{719FB6F9-3D32-4176-B286-B399AE9151A7}"/>
    <dataValidation allowBlank="1" showInputMessage="1" showErrorMessage="1" prompt="Enter year in this cell" sqref="D5" xr:uid="{00000000-0002-0000-0200-000004000000}"/>
    <dataValidation allowBlank="1" showInputMessage="1" showErrorMessage="1" prompt="If this cell doesn’t contain the number 1, then it is a day from a previous month. Cells E5:K10 contain dates for the current month" sqref="E5" xr:uid="{00000000-0002-0000-0200-000005000000}"/>
    <dataValidation allowBlank="1" showInputMessage="1" showErrorMessage="1" prompt="If this row contains a number less than the previous number or row of numbers, then this row contains dates for the next calendar month" sqref="E10" xr:uid="{00000000-0002-0000-0200-000006000000}"/>
    <dataValidation allowBlank="1" showInputMessage="1" showErrorMessage="1" prompt="Day of the week goes in this row, starting in cell D16" sqref="A16" xr:uid="{00000000-0002-0000-0200-000007000000}"/>
    <dataValidation allowBlank="1" showInputMessage="1" showErrorMessage="1" prompt="Weekdays are in this row, from Monday to Friday" sqref="D16" xr:uid="{EB4672DF-B46F-420F-A147-0FDF33478E6E}"/>
  </dataValidations>
  <printOptions horizontalCentered="1" verticalCentered="1"/>
  <pageMargins left="0.25" right="0.25" top="0.5" bottom="0.5" header="0.3" footer="0.3"/>
  <pageSetup scale="47" orientation="landscape"/>
  <ignoredErrors>
    <ignoredError sqref="J10:K10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48023C9-3644-4B97-BAE5-DF06221097C4}">
            <xm:f>List!$A$8=O2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4" id="{CF22ADFE-7317-43F2-85AE-222032100C48}">
            <xm:f>List!$A$9=O2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5" id="{3FBAC87C-F9FE-407C-9DFD-37B79A0A7F4A}">
            <xm:f>List!$A$7=O2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6" id="{715D2C2D-00FB-4416-973D-7C1958D8FF6E}">
            <xm:f>List!$A$6=O2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7" id="{B94CED73-4DE0-4A1F-81F9-60392D827189}">
            <xm:f>List!$A$5=O2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8" id="{9A81A236-915B-4673-AC71-E7F34D821CEA}">
            <xm:f>List!$A$4=O2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9" id="{4C716EE0-44D3-4940-A2AA-2437DA1B5D32}">
            <xm:f>List!$A$3=O2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0" id="{7877021A-F6F0-4D49-A07A-871C7CC28072}">
            <xm:f>List!$A$2=O2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O2:O13 O15:O16 O18:O25 O27:O31 O33 O35 O37:O42 O44:O1048576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FF1C3D-7D8A-4BB1-B5BD-0D4D0495BD83}">
          <x14:formula1>
            <xm:f>List!$A$2:$A$11</xm:f>
          </x14:formula1>
          <xm:sqref>O15:O16 O19:O27 O7:O13 O29:O31 O33 O35:O37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0CB91-67CA-4CFB-A694-8CFA98A245AA}">
  <sheetPr>
    <tabColor theme="7" tint="0.39994506668294322"/>
    <pageSetUpPr fitToPage="1"/>
  </sheetPr>
  <dimension ref="A1:R17"/>
  <sheetViews>
    <sheetView showGridLines="0" topLeftCell="A4" zoomScale="70" zoomScaleNormal="70" zoomScalePageLayoutView="84" workbookViewId="0">
      <selection activeCell="N22" sqref="N22"/>
    </sheetView>
  </sheetViews>
  <sheetFormatPr defaultColWidth="8.625" defaultRowHeight="30" customHeight="1"/>
  <cols>
    <col min="1" max="2" width="5.625" style="164" customWidth="1"/>
    <col min="3" max="3" width="2.625" style="164" customWidth="1"/>
    <col min="4" max="4" width="24.625" style="164" customWidth="1"/>
    <col min="5" max="10" width="12.625" style="164" customWidth="1"/>
    <col min="11" max="11" width="24.625" style="164" customWidth="1"/>
    <col min="12" max="12" width="2.625" style="164" customWidth="1"/>
    <col min="13" max="13" width="5.625" style="170" customWidth="1"/>
    <col min="14" max="14" width="75.5" style="2" customWidth="1"/>
    <col min="15" max="15" width="28.625" style="2" customWidth="1"/>
    <col min="16" max="16" width="78.875" style="3" customWidth="1"/>
    <col min="17" max="17" width="8.875" style="3" customWidth="1"/>
    <col min="18" max="18" width="5.625" customWidth="1"/>
    <col min="19" max="16384" width="8.625" style="164"/>
  </cols>
  <sheetData>
    <row r="1" spans="1:18" ht="30" customHeight="1">
      <c r="A1" s="163"/>
      <c r="B1" s="163"/>
      <c r="C1" s="163"/>
      <c r="D1" s="72"/>
      <c r="E1" s="163"/>
      <c r="F1" s="163"/>
      <c r="G1" s="163"/>
      <c r="H1" s="163"/>
      <c r="I1" s="163"/>
      <c r="J1" s="163"/>
      <c r="K1" s="163"/>
      <c r="L1" s="163"/>
      <c r="M1" s="163"/>
      <c r="N1" s="71"/>
      <c r="O1" s="71"/>
      <c r="P1" s="71"/>
      <c r="Q1" s="71"/>
      <c r="R1" s="71"/>
    </row>
    <row r="2" spans="1:18" ht="30" customHeight="1" thickBot="1">
      <c r="A2" s="163"/>
      <c r="D2" s="165"/>
      <c r="E2" s="165"/>
      <c r="F2" s="165"/>
      <c r="G2" s="165"/>
      <c r="H2" s="165"/>
      <c r="I2" s="165"/>
      <c r="J2" s="165"/>
      <c r="K2" s="165"/>
      <c r="M2" s="166"/>
      <c r="N2" s="103"/>
      <c r="O2" s="106"/>
      <c r="P2" s="40"/>
      <c r="Q2" s="40"/>
      <c r="R2" s="71"/>
    </row>
    <row r="3" spans="1:18" ht="30" customHeight="1" thickTop="1" thickBot="1">
      <c r="A3" s="163"/>
      <c r="C3" s="167"/>
      <c r="D3" s="168"/>
      <c r="K3" s="168"/>
      <c r="L3" s="169"/>
      <c r="N3" s="41"/>
      <c r="O3" s="107"/>
      <c r="P3" s="42"/>
      <c r="Q3" s="140"/>
      <c r="R3" s="71"/>
    </row>
    <row r="4" spans="1:18" ht="35.1" customHeight="1" thickTop="1">
      <c r="A4" s="163"/>
      <c r="C4" s="171"/>
      <c r="D4" s="10" t="s">
        <v>49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Q4" s="141"/>
      <c r="R4" s="71"/>
    </row>
    <row r="5" spans="1:18" ht="30" customHeight="1">
      <c r="A5" s="73"/>
      <c r="B5" s="12"/>
      <c r="C5" s="13"/>
      <c r="D5" s="195">
        <f>CalendarYear</f>
        <v>2026</v>
      </c>
      <c r="E5" s="27">
        <v>26</v>
      </c>
      <c r="F5" s="27">
        <v>27</v>
      </c>
      <c r="G5" s="27">
        <v>28</v>
      </c>
      <c r="H5" s="27">
        <v>29</v>
      </c>
      <c r="I5" s="27">
        <v>30</v>
      </c>
      <c r="J5" s="27">
        <v>31</v>
      </c>
      <c r="K5" s="27">
        <f>IF(DAY(FebSun1)=1,FebSun1,FebSunSun1+7)</f>
        <v>46054</v>
      </c>
      <c r="L5" s="30"/>
      <c r="M5" s="45"/>
      <c r="N5" s="46"/>
      <c r="O5" s="109"/>
      <c r="P5" s="47"/>
      <c r="Q5" s="140"/>
      <c r="R5" s="71"/>
    </row>
    <row r="6" spans="1:18" ht="30" customHeight="1">
      <c r="A6" s="73"/>
      <c r="B6" s="12"/>
      <c r="C6" s="13"/>
      <c r="D6" s="195"/>
      <c r="E6" s="27">
        <v>2</v>
      </c>
      <c r="F6" s="27">
        <v>3</v>
      </c>
      <c r="G6" s="27">
        <v>4</v>
      </c>
      <c r="H6" s="27">
        <v>5</v>
      </c>
      <c r="I6" s="27">
        <v>6</v>
      </c>
      <c r="J6" s="27">
        <v>7</v>
      </c>
      <c r="K6" s="27">
        <f>IF(DAY(Feb!FebSun1)=1,Feb!FebSun1+7,Feb!FebSun1+14)</f>
        <v>46061</v>
      </c>
      <c r="L6" s="30"/>
      <c r="M6" s="48"/>
      <c r="N6" s="49" t="s">
        <v>50</v>
      </c>
      <c r="O6" s="162" t="s">
        <v>25</v>
      </c>
      <c r="P6" s="56" t="s">
        <v>14</v>
      </c>
      <c r="Q6" s="142"/>
      <c r="R6" s="71"/>
    </row>
    <row r="7" spans="1:18" ht="30" customHeight="1">
      <c r="A7" s="73"/>
      <c r="B7" s="12"/>
      <c r="C7" s="13"/>
      <c r="D7" s="172"/>
      <c r="E7" s="27">
        <f>IF(DAY(Feb!FebSun1)=1,Feb!FebSun1+8,Feb!FebSun1+15)</f>
        <v>46062</v>
      </c>
      <c r="F7" s="27">
        <f>IF(DAY(Feb!FebSun1)=1,Feb!FebSun1+9,Feb!FebSun1+16)</f>
        <v>46063</v>
      </c>
      <c r="G7" s="27">
        <f>IF(DAY(Feb!FebSun1)=1,Feb!FebSun1+10,Feb!FebSun1+17)</f>
        <v>46064</v>
      </c>
      <c r="H7" s="27">
        <f>IF(DAY(Feb!FebSun1)=1,Feb!FebSun1+11,Feb!FebSun1+18)</f>
        <v>46065</v>
      </c>
      <c r="I7" s="27">
        <f>IF(DAY(Feb!FebSun1)=1,Feb!FebSun1+12,Feb!FebSun1+19)</f>
        <v>46066</v>
      </c>
      <c r="J7" s="27">
        <f>IF(DAY(Feb!FebSun1)=1,Feb!FebSun1+13,Feb!FebSun1+20)</f>
        <v>46067</v>
      </c>
      <c r="K7" s="27">
        <f>IF(DAY(Feb!FebSun1)=1,Feb!FebSun1+14,Feb!FebSun1+21)</f>
        <v>46068</v>
      </c>
      <c r="L7" s="30"/>
      <c r="M7" s="48"/>
      <c r="N7" s="89" t="s">
        <v>51</v>
      </c>
      <c r="O7" s="201" t="s">
        <v>27</v>
      </c>
      <c r="P7" s="200" t="s">
        <v>54</v>
      </c>
      <c r="Q7" s="143"/>
      <c r="R7" s="71"/>
    </row>
    <row r="8" spans="1:18" ht="30" customHeight="1">
      <c r="A8" s="73"/>
      <c r="B8" s="12"/>
      <c r="C8" s="13"/>
      <c r="D8" s="172"/>
      <c r="E8" s="27">
        <f>IF(DAY(Feb!FebSun1)=1,Feb!FebSun1+15,Feb!FebSun1+22)</f>
        <v>46069</v>
      </c>
      <c r="F8" s="178">
        <f>IF(DAY(Feb!FebSun1)=1,Feb!FebSun1+16,Feb!FebSun1+23)</f>
        <v>46070</v>
      </c>
      <c r="G8" s="27">
        <f>IF(DAY(Feb!FebSun1)=1,Feb!FebSun1+17,Feb!FebSun1+24)</f>
        <v>46071</v>
      </c>
      <c r="H8" s="27">
        <f>IF(DAY(Feb!FebSun1)=1,Feb!FebSun1+18,Feb!FebSun1+25)</f>
        <v>46072</v>
      </c>
      <c r="I8" s="27">
        <f>IF(DAY(Feb!FebSun1)=1,Feb!FebSun1+19,Feb!FebSun1+26)</f>
        <v>46073</v>
      </c>
      <c r="J8" s="27">
        <f>IF(DAY(Feb!FebSun1)=1,Feb!FebSun1+20,Feb!FebSun1+27)</f>
        <v>46074</v>
      </c>
      <c r="K8" s="27">
        <f>IF(DAY(Feb!FebSun1)=1,Feb!FebSun1+21,Feb!FebSun1+28)</f>
        <v>46075</v>
      </c>
      <c r="L8" s="30"/>
      <c r="M8" s="48"/>
      <c r="N8" s="176" t="s">
        <v>53</v>
      </c>
      <c r="O8" s="202"/>
      <c r="P8" s="199"/>
      <c r="Q8" s="144"/>
      <c r="R8" s="71"/>
    </row>
    <row r="9" spans="1:18" ht="30" customHeight="1">
      <c r="A9" s="73"/>
      <c r="B9" s="12"/>
      <c r="C9" s="13"/>
      <c r="D9" s="172"/>
      <c r="E9" s="27">
        <f>IF(DAY(Feb!FebSun1)=1,Feb!FebSun1+22,Feb!FebSun1+29)</f>
        <v>46076</v>
      </c>
      <c r="F9" s="27">
        <f>IF(DAY(Feb!FebSun1)=1,Feb!FebSun1+23,Feb!FebSun1+30)</f>
        <v>46077</v>
      </c>
      <c r="G9" s="27">
        <f>IF(DAY(Feb!FebSun1)=1,Feb!FebSun1+24,Feb!FebSun1+31)</f>
        <v>46078</v>
      </c>
      <c r="H9" s="27">
        <f>IF(DAY(Feb!FebSun1)=1,Feb!FebSun1+25,Feb!FebSun1+32)</f>
        <v>46079</v>
      </c>
      <c r="I9" s="27">
        <f>IF(DAY(Feb!FebSun1)=1,Feb!FebSun1+26,Feb!FebSun1+33)</f>
        <v>46080</v>
      </c>
      <c r="J9" s="27">
        <f>IF(DAY(Feb!FebSun1)=1,Feb!FebSun1+27,Feb!FebSun1+34)</f>
        <v>46081</v>
      </c>
      <c r="K9" s="27">
        <f>IF(DAY(Feb!FebSun1)=1,Feb!FebSun1+28,Feb!FebSun1+35)</f>
        <v>46082</v>
      </c>
      <c r="L9" s="30"/>
      <c r="M9" s="52"/>
      <c r="N9" s="50"/>
      <c r="O9" s="203"/>
      <c r="P9" s="200"/>
      <c r="Q9" s="145"/>
      <c r="R9" s="71"/>
    </row>
    <row r="10" spans="1:18" ht="30" customHeight="1">
      <c r="A10" s="73"/>
      <c r="B10" s="12"/>
      <c r="C10" s="13"/>
      <c r="D10" s="172"/>
      <c r="E10" s="27">
        <v>2</v>
      </c>
      <c r="F10" s="27">
        <v>3</v>
      </c>
      <c r="G10" s="27">
        <v>4</v>
      </c>
      <c r="H10" s="27">
        <v>5</v>
      </c>
      <c r="I10" s="27">
        <v>6</v>
      </c>
      <c r="J10" s="27">
        <v>7</v>
      </c>
      <c r="K10" s="27">
        <v>8</v>
      </c>
      <c r="L10" s="31"/>
      <c r="M10" s="48"/>
      <c r="N10" s="51"/>
      <c r="O10" s="204"/>
      <c r="P10" s="199"/>
      <c r="Q10" s="146"/>
      <c r="R10" s="71"/>
    </row>
    <row r="11" spans="1:18" ht="30" customHeight="1" thickBot="1">
      <c r="A11" s="73"/>
      <c r="B11" s="12"/>
      <c r="C11" s="15"/>
      <c r="D11" s="165"/>
      <c r="K11" s="165"/>
      <c r="L11" s="173"/>
      <c r="M11" s="53"/>
      <c r="N11" s="51"/>
      <c r="O11" s="113"/>
      <c r="P11" s="161"/>
      <c r="Q11" s="146"/>
      <c r="R11" s="71"/>
    </row>
    <row r="12" spans="1:18" ht="30" customHeight="1" thickTop="1">
      <c r="A12" s="73"/>
      <c r="B12" s="12"/>
      <c r="C12" s="12"/>
      <c r="D12" s="16"/>
      <c r="E12" s="168"/>
      <c r="F12" s="168"/>
      <c r="G12" s="168"/>
      <c r="H12" s="168"/>
      <c r="I12" s="168"/>
      <c r="J12" s="168"/>
      <c r="K12" s="168"/>
      <c r="N12" s="54"/>
      <c r="O12" s="113"/>
      <c r="P12" s="118"/>
      <c r="Q12" s="147"/>
      <c r="R12" s="71"/>
    </row>
    <row r="13" spans="1:18" ht="30" customHeight="1">
      <c r="A13" s="73"/>
      <c r="B13" s="12"/>
      <c r="C13" s="12"/>
      <c r="D13"/>
      <c r="E13"/>
      <c r="F13"/>
      <c r="G13"/>
      <c r="H13" s="196" t="s">
        <v>0</v>
      </c>
      <c r="I13" s="196"/>
      <c r="J13" s="196" t="s">
        <v>1</v>
      </c>
      <c r="K13" s="196"/>
      <c r="L13" s="33"/>
      <c r="N13" s="54"/>
      <c r="O13" s="116"/>
      <c r="P13" s="118"/>
      <c r="Q13" s="148"/>
      <c r="R13" s="71"/>
    </row>
    <row r="14" spans="1:18" ht="39.950000000000003" customHeight="1">
      <c r="A14" s="73"/>
      <c r="B14" s="12"/>
      <c r="C14" s="12"/>
      <c r="D14" s="120"/>
      <c r="E14"/>
      <c r="F14" s="119"/>
      <c r="G14" s="17"/>
      <c r="H14" s="196"/>
      <c r="I14" s="196"/>
      <c r="J14" s="196"/>
      <c r="K14" s="196"/>
      <c r="L14" s="33"/>
      <c r="M14" s="55"/>
      <c r="N14" s="50"/>
      <c r="O14" s="116"/>
      <c r="P14" s="118"/>
      <c r="Q14" s="148"/>
      <c r="R14" s="71"/>
    </row>
    <row r="15" spans="1:18" ht="30" customHeight="1" thickBot="1">
      <c r="A15" s="73"/>
      <c r="B15" s="12"/>
      <c r="C15" s="12"/>
      <c r="D15" s="18"/>
      <c r="E15" s="18"/>
      <c r="F15" s="18"/>
      <c r="G15" s="18"/>
      <c r="H15" s="18"/>
      <c r="I15" s="18"/>
      <c r="J15" s="18"/>
      <c r="K15" s="18"/>
      <c r="L15" s="18"/>
      <c r="M15" s="55"/>
      <c r="N15" s="51"/>
      <c r="O15" s="116"/>
      <c r="P15" s="118"/>
      <c r="Q15" s="147"/>
      <c r="R15" s="71"/>
    </row>
    <row r="16" spans="1:18" ht="37.5" customHeight="1" thickTop="1">
      <c r="A16" s="163"/>
      <c r="B16" s="20"/>
      <c r="C16" s="152"/>
      <c r="D16" s="155"/>
      <c r="E16" s="156"/>
      <c r="F16" s="156"/>
      <c r="G16" s="156"/>
      <c r="H16" s="156"/>
      <c r="I16" s="156"/>
      <c r="J16" s="156"/>
      <c r="K16" s="155"/>
      <c r="L16" s="157"/>
      <c r="R16" s="71"/>
    </row>
    <row r="17" spans="1:18" ht="39.950000000000003" customHeight="1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71"/>
      <c r="O17" s="71"/>
      <c r="P17" s="71"/>
      <c r="Q17" s="71"/>
      <c r="R17" s="71"/>
    </row>
  </sheetData>
  <mergeCells count="9">
    <mergeCell ref="D5:D6"/>
    <mergeCell ref="H13:I13"/>
    <mergeCell ref="J13:K13"/>
    <mergeCell ref="H14:I14"/>
    <mergeCell ref="J14:K14"/>
    <mergeCell ref="P7:P8"/>
    <mergeCell ref="O7:O8"/>
    <mergeCell ref="P9:P10"/>
    <mergeCell ref="O9:O10"/>
  </mergeCells>
  <conditionalFormatting sqref="D16:K16">
    <cfRule type="expression" dxfId="297" priority="1">
      <formula>D16&lt;&gt;""</formula>
    </cfRule>
  </conditionalFormatting>
  <conditionalFormatting sqref="E5:J5">
    <cfRule type="expression" dxfId="296" priority="20" stopIfTrue="1">
      <formula>DAY(E5)&gt;8</formula>
    </cfRule>
  </conditionalFormatting>
  <conditionalFormatting sqref="E5:K10">
    <cfRule type="expression" dxfId="295" priority="21">
      <formula>VLOOKUP(DAY(E5),#REF!,1,FALSE)=DAY(E5)</formula>
    </cfRule>
  </conditionalFormatting>
  <conditionalFormatting sqref="E9:K10">
    <cfRule type="expression" dxfId="294" priority="19" stopIfTrue="1">
      <formula>AND(DAY(E9)&gt;=1,DAY(E9)&lt;=15)</formula>
    </cfRule>
  </conditionalFormatting>
  <conditionalFormatting sqref="M6:M11">
    <cfRule type="expression" dxfId="293" priority="23">
      <formula>VLOOKUP(DAY(M6),AssignmentDays,1,FALSE)=DAY(M6)</formula>
    </cfRule>
  </conditionalFormatting>
  <conditionalFormatting sqref="M10:M11">
    <cfRule type="expression" dxfId="292" priority="22" stopIfTrue="1">
      <formula>AND(DAY(M10)&gt;=1,DAY(M10)&lt;=15)</formula>
    </cfRule>
  </conditionalFormatting>
  <dataValidations count="7">
    <dataValidation allowBlank="1" showInputMessage="1" showErrorMessage="1" prompt="Calendar year is automatically updated in this cell. To change the calendar year, to go cell D5 in Jan worksheet." sqref="D5:D6" xr:uid="{3DDD959D-13CF-47B1-8B15-CC13C35DB8EE}"/>
    <dataValidation allowBlank="1" showInputMessage="1" showErrorMessage="1" prompt="If this row contains a number less than the previous number or row of numbers, then this row contains dates for the next calendar month" sqref="E10" xr:uid="{39BA2A8D-57B4-46A8-A50A-7E733FCB997D}"/>
    <dataValidation allowBlank="1" showInputMessage="1" showErrorMessage="1" prompt="If this cell doesn’t contain the number 1, then it is a day from a previous month. Cells E5:K10 contain dates for the current month" sqref="E5" xr:uid="{86D001D8-44A8-45B9-B9CC-527D7C240201}"/>
    <dataValidation allowBlank="1" showInputMessage="1" showErrorMessage="1" prompt="Enter the assignment details in this column that correspond to the weekday in column N and day in column O for the calendar month at left" sqref="N4:O4" xr:uid="{8AADCCCF-D26B-4266-8F09-8B11EF1BB7EF}"/>
    <dataValidation allowBlank="1" showInputMessage="1" showErrorMessage="1" prompt="Cells E4:K4 contain weekdays" sqref="E4" xr:uid="{6DCEBFFB-82AC-457D-8F6F-90756F144110}"/>
    <dataValidation allowBlank="1" showInputMessage="1" showErrorMessage="1" prompt="Calendar automatically highlights assignment list entries for the month. Darker fonts are assignments. Lighter fonts are days that belong to the previous or next month" sqref="D4" xr:uid="{19E13152-67D8-4988-8A57-27E89477E161}"/>
    <dataValidation allowBlank="1" showInputMessage="1" showErrorMessage="1" prompt="September calendar. Calendar year is automatically updated based on cell D5 in Jan sheet." sqref="A1" xr:uid="{32964796-52A1-40AD-8D8B-715020BBECC2}"/>
  </dataValidations>
  <printOptions horizontalCentered="1" verticalCentered="1"/>
  <pageMargins left="0.25" right="0.25" top="0.5" bottom="0.5" header="0.3" footer="0.3"/>
  <pageSetup scale="47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BDA972C-FB63-4964-964C-2FFDB7BAB011}">
            <xm:f>List!$A$8=O2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3" id="{B0CAB894-D4E3-4C22-B4F0-292D41D66463}">
            <xm:f>List!$A$9=O2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4" id="{931C3CA1-F831-4F01-BD9D-AC7BFF0E4DBF}">
            <xm:f>List!$A$7=O2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5" id="{DBAE2D89-43D0-47CE-8D0A-D490B8FE9FD0}">
            <xm:f>List!$A$6=O2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6" id="{96A5CB88-B329-4264-AB96-D783C2F3763F}">
            <xm:f>List!$A$5=O2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7" id="{C3A4F5D0-6782-4489-944B-3011ECEE3AB3}">
            <xm:f>List!$A$4=O2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8" id="{60493EAA-57C4-4371-BE14-9C408914E551}">
            <xm:f>List!$A$3=O2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9" id="{42094789-3544-40E4-936A-059DE0289EAB}">
            <xm:f>List!$A$2=O2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O2:O7 O9 O11:O13 O15:O16</xm:sqref>
        </x14:conditionalFormatting>
        <x14:conditionalFormatting xmlns:xm="http://schemas.microsoft.com/office/excel/2006/main">
          <x14:cfRule type="expression" priority="10" id="{8A51DFC4-2A5E-427B-9FCA-EA39876D9986}">
            <xm:f>List!$A$8=O18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1" id="{FFC6D912-8CBD-4E13-944F-DFF11F25B176}">
            <xm:f>List!$A$9=O18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2" id="{1E15DB4A-BFE0-40DB-B238-2DAD6C6119A6}">
            <xm:f>List!$A$7=O18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13" id="{DEDA5194-687E-4EDF-A3B2-8577BA80F2A1}">
            <xm:f>List!$A$6=O18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4" id="{84C8E5A8-48B6-478A-9E73-6E7CFCF3405C}">
            <xm:f>List!$A$5=O18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15" id="{8B4E943A-C55C-422F-9993-51E42950E3A1}">
            <xm:f>List!$A$4=O18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16" id="{8824CC0D-CA8D-454C-A575-85B87084F296}">
            <xm:f>List!$A$3=O18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7" id="{82685107-49EB-40AC-8A04-638614EA529F}">
            <xm:f>List!$A$2=O18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O18:O1048576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C74800-D7D4-4E2E-9399-73DB99418296}">
          <x14:formula1>
            <xm:f>List!$A$2:$A$11</xm:f>
          </x14:formula1>
          <xm:sqref>O15 O7 O9 O11:O13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4506668294322"/>
    <pageSetUpPr fitToPage="1"/>
  </sheetPr>
  <dimension ref="A1:R14"/>
  <sheetViews>
    <sheetView showGridLines="0" zoomScale="70" zoomScaleNormal="70" zoomScalePageLayoutView="84" workbookViewId="0">
      <selection activeCell="K17" sqref="K17"/>
    </sheetView>
  </sheetViews>
  <sheetFormatPr defaultColWidth="8.625" defaultRowHeight="30" customHeight="1"/>
  <cols>
    <col min="1" max="2" width="5.625" customWidth="1"/>
    <col min="3" max="3" width="2.625" customWidth="1"/>
    <col min="4" max="4" width="24.625" customWidth="1"/>
    <col min="5" max="10" width="12.625" customWidth="1"/>
    <col min="11" max="11" width="23.875" customWidth="1"/>
    <col min="12" max="12" width="2.625" customWidth="1"/>
    <col min="13" max="13" width="4.875" style="1" customWidth="1"/>
    <col min="14" max="14" width="75.5" style="2" customWidth="1"/>
    <col min="15" max="15" width="28.625" style="2" customWidth="1"/>
    <col min="16" max="16" width="78.875" style="3" customWidth="1"/>
    <col min="17" max="17" width="8" style="3" customWidth="1"/>
    <col min="18" max="18" width="5.625" customWidth="1"/>
  </cols>
  <sheetData>
    <row r="1" spans="1:18" ht="30" customHeight="1">
      <c r="A1" s="66"/>
      <c r="B1" s="66"/>
      <c r="C1" s="66"/>
      <c r="D1" s="67"/>
      <c r="E1" s="66"/>
      <c r="F1" s="66"/>
      <c r="G1" s="66"/>
      <c r="H1" s="66"/>
      <c r="I1" s="66"/>
      <c r="J1" s="66"/>
      <c r="K1" s="66"/>
      <c r="L1" s="66"/>
      <c r="M1" s="96"/>
      <c r="N1" s="66"/>
      <c r="O1" s="66"/>
      <c r="P1" s="66"/>
      <c r="Q1" s="66"/>
      <c r="R1" s="66"/>
    </row>
    <row r="2" spans="1:18" ht="30" customHeight="1" thickBot="1">
      <c r="A2" s="66"/>
      <c r="D2" s="6"/>
      <c r="E2" s="6"/>
      <c r="F2" s="6"/>
      <c r="G2" s="6"/>
      <c r="H2" s="6"/>
      <c r="I2" s="6"/>
      <c r="J2" s="6"/>
      <c r="K2" s="6"/>
      <c r="N2" s="103"/>
      <c r="O2" s="106"/>
      <c r="P2" s="40"/>
      <c r="Q2" s="40"/>
      <c r="R2" s="66"/>
    </row>
    <row r="3" spans="1:18" ht="30" customHeight="1" thickTop="1" thickBot="1">
      <c r="A3" s="66"/>
      <c r="C3" s="7"/>
      <c r="D3" s="8"/>
      <c r="K3" s="8"/>
      <c r="L3" s="28"/>
      <c r="N3" s="41"/>
      <c r="O3" s="107"/>
      <c r="P3" s="42"/>
      <c r="Q3" s="140"/>
      <c r="R3" s="66"/>
    </row>
    <row r="4" spans="1:18" ht="35.1" customHeight="1" thickTop="1">
      <c r="A4" s="66"/>
      <c r="C4" s="9"/>
      <c r="D4" s="10" t="s">
        <v>16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Q4" s="141"/>
      <c r="R4" s="66"/>
    </row>
    <row r="5" spans="1:18" ht="30" customHeight="1">
      <c r="A5" s="68"/>
      <c r="B5" s="12"/>
      <c r="C5" s="13"/>
      <c r="D5" s="195">
        <f ca="1">CalendarYear</f>
        <v>2026</v>
      </c>
      <c r="E5" s="27">
        <f ca="1">IF(DAY(MarSun1)=1,MarSun1-6,MarSun1+1)</f>
        <v>46076</v>
      </c>
      <c r="F5" s="27">
        <f ca="1">IF(DAY(MarSun1)=1,MarSun1-5,MarSun1+2)</f>
        <v>46077</v>
      </c>
      <c r="G5" s="27">
        <f ca="1">IF(DAY(MarSun1)=1,MarSun1-4,MarSun1+3)</f>
        <v>46078</v>
      </c>
      <c r="H5" s="27">
        <f ca="1">IF(DAY(MarSun1)=1,MarSun1-3,MarSun1+4)</f>
        <v>46079</v>
      </c>
      <c r="I5" s="27">
        <f ca="1">IF(DAY(MarSun1)=1,MarSun1-2,MarSun1+5)</f>
        <v>46080</v>
      </c>
      <c r="J5" s="27">
        <f ca="1">IF(DAY(MarSun1)=1,MarSun1-1,MarSun1+6)</f>
        <v>46081</v>
      </c>
      <c r="K5" s="27">
        <f ca="1">IF(DAY(MarSun1)=1,MarSun1,MarSun1+7)</f>
        <v>46082</v>
      </c>
      <c r="L5" s="30"/>
      <c r="M5" s="45"/>
      <c r="N5" s="46"/>
      <c r="O5" s="109"/>
      <c r="P5" s="47"/>
      <c r="Q5" s="140"/>
      <c r="R5" s="66"/>
    </row>
    <row r="6" spans="1:18" ht="30" customHeight="1">
      <c r="A6" s="68"/>
      <c r="B6" s="12"/>
      <c r="C6" s="13"/>
      <c r="D6" s="195"/>
      <c r="E6" s="27">
        <f ca="1">IF(DAY(MarSun1)=1,MarSun1+1,MarSun1+8)</f>
        <v>46083</v>
      </c>
      <c r="F6" s="27">
        <f ca="1">IF(DAY(MarSun1)=1,MarSun1+2,MarSun1+9)</f>
        <v>46084</v>
      </c>
      <c r="G6" s="27">
        <f ca="1">IF(DAY(MarSun1)=1,MarSun1+3,MarSun1+10)</f>
        <v>46085</v>
      </c>
      <c r="H6" s="27">
        <f ca="1">IF(DAY(MarSun1)=1,MarSun1+4,MarSun1+11)</f>
        <v>46086</v>
      </c>
      <c r="I6" s="27">
        <f ca="1">IF(DAY(MarSun1)=1,MarSun1+5,MarSun1+12)</f>
        <v>46087</v>
      </c>
      <c r="J6" s="27">
        <f ca="1">IF(DAY(MarSun1)=1,MarSun1+6,MarSun1+13)</f>
        <v>46088</v>
      </c>
      <c r="K6" s="27">
        <f ca="1">IF(DAY(MarSun1)=1,MarSun1+7,MarSun1+14)</f>
        <v>46089</v>
      </c>
      <c r="L6" s="30"/>
      <c r="M6" s="48"/>
      <c r="N6" s="49" t="s">
        <v>50</v>
      </c>
      <c r="O6" s="110" t="s">
        <v>25</v>
      </c>
      <c r="P6" s="111" t="s">
        <v>14</v>
      </c>
      <c r="Q6" s="142"/>
      <c r="R6" s="66"/>
    </row>
    <row r="7" spans="1:18" ht="30" customHeight="1">
      <c r="A7" s="68"/>
      <c r="B7" s="12"/>
      <c r="C7" s="13"/>
      <c r="D7" s="14"/>
      <c r="E7" s="27">
        <f ca="1">IF(DAY(MarSun1)=1,MarSun1+8,MarSun1+15)</f>
        <v>46090</v>
      </c>
      <c r="F7" s="27">
        <f ca="1">IF(DAY(MarSun1)=1,MarSun1+9,MarSun1+16)</f>
        <v>46091</v>
      </c>
      <c r="G7" s="27">
        <f ca="1">IF(DAY(MarSun1)=1,MarSun1+10,MarSun1+17)</f>
        <v>46092</v>
      </c>
      <c r="H7" s="27">
        <f ca="1">IF(DAY(MarSun1)=1,MarSun1+11,MarSun1+18)</f>
        <v>46093</v>
      </c>
      <c r="I7" s="27">
        <f ca="1">IF(DAY(MarSun1)=1,MarSun1+12,MarSun1+19)</f>
        <v>46094</v>
      </c>
      <c r="J7" s="27">
        <f ca="1">IF(DAY(MarSun1)=1,MarSun1+13,MarSun1+20)</f>
        <v>46095</v>
      </c>
      <c r="K7" s="27">
        <f ca="1">IF(DAY(MarSun1)=1,MarSun1+14,MarSun1+21)</f>
        <v>46096</v>
      </c>
      <c r="L7" s="30"/>
      <c r="M7" s="48"/>
      <c r="N7" s="89" t="s">
        <v>51</v>
      </c>
      <c r="O7" s="201"/>
      <c r="P7" s="200"/>
      <c r="Q7" s="145"/>
      <c r="R7" s="66"/>
    </row>
    <row r="8" spans="1:18" ht="30" customHeight="1">
      <c r="A8" s="68"/>
      <c r="B8" s="12"/>
      <c r="C8" s="13"/>
      <c r="D8" s="14"/>
      <c r="E8" s="27">
        <f ca="1">IF(DAY(MarSun1)=1,MarSun1+15,MarSun1+22)</f>
        <v>46097</v>
      </c>
      <c r="F8" s="27">
        <f ca="1">IF(DAY(MarSun1)=1,MarSun1+16,MarSun1+23)</f>
        <v>46098</v>
      </c>
      <c r="G8" s="27">
        <f ca="1">IF(DAY(MarSun1)=1,MarSun1+17,MarSun1+24)</f>
        <v>46099</v>
      </c>
      <c r="H8" s="27">
        <f ca="1">IF(DAY(MarSun1)=1,MarSun1+18,MarSun1+25)</f>
        <v>46100</v>
      </c>
      <c r="I8" s="27">
        <f ca="1">IF(DAY(MarSun1)=1,MarSun1+19,MarSun1+26)</f>
        <v>46101</v>
      </c>
      <c r="J8" s="27">
        <f ca="1">IF(DAY(MarSun1)=1,MarSun1+20,MarSun1+27)</f>
        <v>46102</v>
      </c>
      <c r="K8" s="27">
        <f ca="1">IF(DAY(MarSun1)=1,MarSun1+21,MarSun1+28)</f>
        <v>46103</v>
      </c>
      <c r="L8" s="30"/>
      <c r="M8" s="48"/>
      <c r="N8" s="176" t="s">
        <v>32</v>
      </c>
      <c r="O8" s="202"/>
      <c r="P8" s="199"/>
      <c r="Q8" s="145"/>
      <c r="R8" s="66"/>
    </row>
    <row r="9" spans="1:18" ht="30" customHeight="1">
      <c r="A9" s="68"/>
      <c r="B9" s="12"/>
      <c r="C9" s="13"/>
      <c r="D9" s="14"/>
      <c r="E9" s="27">
        <f ca="1">IF(DAY(MarSun1)=1,MarSun1+22,MarSun1+29)</f>
        <v>46104</v>
      </c>
      <c r="F9" s="27">
        <f ca="1">IF(DAY(MarSun1)=1,MarSun1+23,MarSun1+30)</f>
        <v>46105</v>
      </c>
      <c r="G9" s="27">
        <f ca="1">IF(DAY(MarSun1)=1,MarSun1+24,MarSun1+31)</f>
        <v>46106</v>
      </c>
      <c r="H9" s="27">
        <f ca="1">IF(DAY(MarSun1)=1,MarSun1+25,MarSun1+32)</f>
        <v>46107</v>
      </c>
      <c r="I9" s="27">
        <f ca="1">IF(DAY(MarSun1)=1,MarSun1+26,MarSun1+33)</f>
        <v>46108</v>
      </c>
      <c r="J9" s="27">
        <f ca="1">IF(DAY(MarSun1)=1,MarSun1+27,MarSun1+34)</f>
        <v>46109</v>
      </c>
      <c r="K9" s="27">
        <f ca="1">IF(DAY(MarSun1)=1,MarSun1+28,MarSun1+35)</f>
        <v>46110</v>
      </c>
      <c r="L9" s="30"/>
      <c r="M9" s="52"/>
      <c r="N9" s="50"/>
      <c r="O9" s="160"/>
      <c r="P9" s="58"/>
      <c r="Q9" s="149"/>
      <c r="R9" s="66"/>
    </row>
    <row r="10" spans="1:18" ht="30" customHeight="1">
      <c r="A10" s="68"/>
      <c r="B10" s="12"/>
      <c r="C10" s="13"/>
      <c r="D10" s="14"/>
      <c r="E10" s="27">
        <f ca="1">IF(DAY(MarSun1)=1,MarSun1+29,MarSun1+36)</f>
        <v>46111</v>
      </c>
      <c r="F10" s="27">
        <f ca="1">IF(DAY(MarSun1)=1,MarSun1+30,MarSun1+37)</f>
        <v>46112</v>
      </c>
      <c r="G10" s="27">
        <f ca="1">IF(DAY(MarSun1)=1,MarSun1+31,MarSun1+38)</f>
        <v>46113</v>
      </c>
      <c r="H10" s="27">
        <f ca="1">IF(DAY(MarSun1)=1,MarSun1+32,MarSun1+39)</f>
        <v>46114</v>
      </c>
      <c r="I10" s="27">
        <f ca="1">IF(DAY(MarSun1)=1,MarSun1+33,MarSun1+40)</f>
        <v>46115</v>
      </c>
      <c r="J10" s="27">
        <f ca="1">IF(DAY(MarSun1)=1,MarSun1+34,MarSun1+41)</f>
        <v>46116</v>
      </c>
      <c r="K10" s="27">
        <f ca="1">IF(DAY(MarSun1)=1,MarSun1+35,MarSun1+42)</f>
        <v>46117</v>
      </c>
      <c r="L10" s="31"/>
      <c r="M10" s="48"/>
      <c r="N10" s="51"/>
      <c r="O10" s="113"/>
      <c r="P10" s="161"/>
      <c r="Q10" s="174"/>
      <c r="R10" s="66"/>
    </row>
    <row r="11" spans="1:18" ht="30" customHeight="1" thickBot="1">
      <c r="A11" s="68"/>
      <c r="B11" s="12"/>
      <c r="C11" s="15"/>
      <c r="D11" s="6"/>
      <c r="K11" s="6"/>
      <c r="L11" s="32"/>
      <c r="M11" s="53"/>
      <c r="N11" s="51"/>
      <c r="O11" s="113"/>
      <c r="P11" s="161"/>
      <c r="Q11" s="174"/>
      <c r="R11" s="66"/>
    </row>
    <row r="12" spans="1:18" ht="30" customHeight="1" thickTop="1" thickBot="1">
      <c r="A12" s="68"/>
      <c r="B12" s="12"/>
      <c r="C12" s="12"/>
      <c r="D12" s="16"/>
      <c r="E12" s="8"/>
      <c r="F12" s="8"/>
      <c r="G12" s="8"/>
      <c r="H12" s="8"/>
      <c r="I12" s="8"/>
      <c r="J12" s="8"/>
      <c r="K12" s="8"/>
      <c r="N12" s="54"/>
      <c r="O12" s="113"/>
      <c r="P12" s="118"/>
      <c r="Q12" s="147"/>
      <c r="R12" s="66"/>
    </row>
    <row r="13" spans="1:18" ht="30" customHeight="1" thickTop="1">
      <c r="A13" s="66"/>
      <c r="C13" s="152"/>
      <c r="D13" s="155"/>
      <c r="E13" s="205"/>
      <c r="F13" s="205"/>
      <c r="G13" s="205"/>
      <c r="H13" s="205"/>
      <c r="I13" s="205"/>
      <c r="J13" s="205"/>
      <c r="K13" s="155"/>
      <c r="L13" s="157"/>
      <c r="R13" s="66"/>
    </row>
    <row r="14" spans="1:18" ht="30" customHeight="1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</row>
  </sheetData>
  <mergeCells count="6">
    <mergeCell ref="D5:D6"/>
    <mergeCell ref="E13:F13"/>
    <mergeCell ref="G13:H13"/>
    <mergeCell ref="I13:J13"/>
    <mergeCell ref="O7:O8"/>
    <mergeCell ref="P7:P8"/>
  </mergeCells>
  <conditionalFormatting sqref="D13:K13">
    <cfRule type="expression" dxfId="275" priority="1">
      <formula>D13&lt;&gt;""</formula>
    </cfRule>
  </conditionalFormatting>
  <conditionalFormatting sqref="E5:J5">
    <cfRule type="expression" dxfId="274" priority="15" stopIfTrue="1">
      <formula>DAY(E5)&gt;8</formula>
    </cfRule>
  </conditionalFormatting>
  <conditionalFormatting sqref="E5:K10">
    <cfRule type="expression" dxfId="273" priority="16">
      <formula>VLOOKUP(DAY(E5),$O:$O,1,FALSE)=DAY(E5)</formula>
    </cfRule>
  </conditionalFormatting>
  <conditionalFormatting sqref="E9:K10">
    <cfRule type="expression" dxfId="272" priority="14" stopIfTrue="1">
      <formula>AND(DAY(E9)&gt;=1,DAY(E9)&lt;=15)</formula>
    </cfRule>
  </conditionalFormatting>
  <conditionalFormatting sqref="M6:M11">
    <cfRule type="expression" dxfId="271" priority="22">
      <formula>VLOOKUP(DAY(M6),AssignmentDays,1,FALSE)=DAY(M6)</formula>
    </cfRule>
  </conditionalFormatting>
  <conditionalFormatting sqref="M10:M11">
    <cfRule type="expression" dxfId="270" priority="21" stopIfTrue="1">
      <formula>AND(DAY(M10)&gt;=1,DAY(M10)&lt;=15)</formula>
    </cfRule>
  </conditionalFormatting>
  <dataValidations count="7">
    <dataValidation allowBlank="1" showInputMessage="1" showErrorMessage="1" prompt="March calendar. Calendar year is automatically updated based on cell D5 in Jan sheet." sqref="A1" xr:uid="{00000000-0002-0000-0400-000000000000}"/>
    <dataValidation allowBlank="1" showInputMessage="1" showErrorMessage="1" prompt="Calendar automatically highlights assignment list entries for the month. Darker fonts are assignments. Lighter fonts are days that belong to the previous or next month" sqref="D4" xr:uid="{00000000-0002-0000-0400-000001000000}"/>
    <dataValidation allowBlank="1" showInputMessage="1" showErrorMessage="1" prompt="Cells E4:K4 contain weekdays" sqref="E4" xr:uid="{00000000-0002-0000-0400-000002000000}"/>
    <dataValidation allowBlank="1" showInputMessage="1" showErrorMessage="1" prompt="Enter the assignment details in this column that correspond to the weekday in column N and day in column O for the calendar month at left" sqref="N4:O4" xr:uid="{34A26A27-1559-4D1D-BA8B-D3882DED9F73}"/>
    <dataValidation allowBlank="1" showInputMessage="1" showErrorMessage="1" prompt="If this cell doesn’t contain the number 1, then it is a day from a previous month. Cells E5:K10 contain dates for the current month" sqref="E5" xr:uid="{00000000-0002-0000-0400-000004000000}"/>
    <dataValidation allowBlank="1" showInputMessage="1" showErrorMessage="1" prompt="If this row contains a number less than the previous number or row of numbers, then this row contains dates for the next calendar month" sqref="E10" xr:uid="{00000000-0002-0000-0400-000005000000}"/>
    <dataValidation allowBlank="1" showInputMessage="1" showErrorMessage="1" prompt="Calendar year is automatically updated in this cell. To change the calendar year, to go cell D5 in Jan worksheet." sqref="D5:D6" xr:uid="{00000000-0002-0000-0400-000008000000}"/>
  </dataValidations>
  <printOptions horizontalCentered="1" verticalCentered="1"/>
  <pageMargins left="0.25" right="0.25" top="0.5" bottom="0.5" header="0.3" footer="0.3"/>
  <pageSetup scale="47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F340C8F-E5FA-4602-BD36-647848D39A92}">
            <xm:f>List!$A$8=O2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3" id="{D356FFD2-FEDC-4195-8326-7706AAB87DFF}">
            <xm:f>List!$A$9=O2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4" id="{6CD7302F-418B-4E11-8E27-9671E71A3B25}">
            <xm:f>List!$A$7=O2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5" id="{4A5EB5E8-36C0-4A70-B4E3-C128DF16DB31}">
            <xm:f>List!$A$6=O2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6" id="{E6D9CCE1-10F9-45BF-96B8-449E90B9FFA8}">
            <xm:f>List!$A$5=O2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7" id="{EFF8C6BA-D229-4EF2-80FF-131E9FC4CF9F}">
            <xm:f>List!$A$4=O2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8" id="{6FEFB3E8-F659-4EE3-9CC5-82ED0831981C}">
            <xm:f>List!$A$3=O2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9" id="{FD627851-D79D-4ED9-849D-4A19C66D268E}">
            <xm:f>List!$A$2=O2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O2:O7 O15:O1048576 O9:O13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D8B80F-D07B-4AB0-A0A4-46FA66C20B70}">
          <x14:formula1>
            <xm:f>List!$A$2:$A$11</xm:f>
          </x14:formula1>
          <xm:sqref>O7 O9:O12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4506668294322"/>
    <pageSetUpPr fitToPage="1"/>
  </sheetPr>
  <dimension ref="A1:R15"/>
  <sheetViews>
    <sheetView showGridLines="0" topLeftCell="A2" zoomScale="70" zoomScaleNormal="70" zoomScalePageLayoutView="84" workbookViewId="0">
      <selection activeCell="N23" sqref="N23"/>
    </sheetView>
  </sheetViews>
  <sheetFormatPr defaultColWidth="8.625" defaultRowHeight="30" customHeight="1"/>
  <cols>
    <col min="1" max="1" width="5.625" customWidth="1"/>
    <col min="2" max="2" width="3.25" customWidth="1"/>
    <col min="3" max="3" width="2.625" customWidth="1"/>
    <col min="4" max="4" width="24.625" customWidth="1"/>
    <col min="5" max="10" width="12.625" customWidth="1"/>
    <col min="11" max="11" width="24.625" customWidth="1"/>
    <col min="12" max="12" width="2.625" customWidth="1"/>
    <col min="13" max="13" width="5.625" style="1" customWidth="1"/>
    <col min="14" max="14" width="75.5" style="2" customWidth="1"/>
    <col min="15" max="15" width="28.625" style="2" customWidth="1"/>
    <col min="16" max="16" width="78.875" style="3" customWidth="1"/>
    <col min="17" max="18" width="5.625" customWidth="1"/>
  </cols>
  <sheetData>
    <row r="1" spans="1:18" ht="30" customHeight="1">
      <c r="A1" s="62"/>
      <c r="B1" s="62"/>
      <c r="C1" s="62"/>
      <c r="D1" s="63"/>
      <c r="E1" s="62"/>
      <c r="F1" s="62"/>
      <c r="G1" s="62"/>
      <c r="H1" s="62"/>
      <c r="I1" s="62"/>
      <c r="J1" s="62"/>
      <c r="K1" s="62"/>
      <c r="L1" s="62"/>
      <c r="M1" s="65"/>
      <c r="N1" s="62"/>
      <c r="O1" s="62"/>
      <c r="P1" s="62"/>
      <c r="Q1" s="62"/>
      <c r="R1" s="62"/>
    </row>
    <row r="2" spans="1:18" ht="30" customHeight="1" thickBot="1">
      <c r="A2" s="62"/>
      <c r="D2" s="6"/>
      <c r="E2" s="6"/>
      <c r="F2" s="6"/>
      <c r="G2" s="6"/>
      <c r="H2" s="6"/>
      <c r="I2" s="6"/>
      <c r="J2" s="6"/>
      <c r="K2" s="6"/>
      <c r="N2" s="103"/>
      <c r="O2" s="106"/>
      <c r="P2" s="40"/>
      <c r="R2" s="62"/>
    </row>
    <row r="3" spans="1:18" ht="30" customHeight="1" thickTop="1" thickBot="1">
      <c r="A3" s="62"/>
      <c r="C3" s="7"/>
      <c r="D3" s="8"/>
      <c r="K3" s="8"/>
      <c r="L3" s="28"/>
      <c r="N3" s="41"/>
      <c r="O3" s="107"/>
      <c r="P3" s="42"/>
      <c r="R3" s="62"/>
    </row>
    <row r="4" spans="1:18" ht="35.1" customHeight="1">
      <c r="A4" s="62"/>
      <c r="C4" s="9"/>
      <c r="D4" s="10" t="s">
        <v>17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R4" s="62"/>
    </row>
    <row r="5" spans="1:18" ht="30" customHeight="1">
      <c r="A5" s="64"/>
      <c r="B5" s="12"/>
      <c r="C5" s="13"/>
      <c r="D5" s="195">
        <v>2026</v>
      </c>
      <c r="E5" s="27">
        <v>30</v>
      </c>
      <c r="F5" s="27">
        <v>31</v>
      </c>
      <c r="G5" s="27">
        <v>1</v>
      </c>
      <c r="H5" s="27">
        <v>2</v>
      </c>
      <c r="I5" s="27">
        <v>3</v>
      </c>
      <c r="J5" s="27">
        <v>4</v>
      </c>
      <c r="K5" s="27">
        <v>5</v>
      </c>
      <c r="L5" s="30"/>
      <c r="M5" s="45"/>
      <c r="N5" s="46"/>
      <c r="O5" s="109"/>
      <c r="P5" s="47"/>
      <c r="R5" s="62"/>
    </row>
    <row r="6" spans="1:18" ht="30" customHeight="1">
      <c r="A6" s="64"/>
      <c r="B6" s="12"/>
      <c r="C6" s="13"/>
      <c r="D6" s="195"/>
      <c r="E6" s="27">
        <v>6</v>
      </c>
      <c r="F6" s="27">
        <v>7</v>
      </c>
      <c r="G6" s="27">
        <v>8</v>
      </c>
      <c r="H6" s="27">
        <v>9</v>
      </c>
      <c r="I6" s="27">
        <v>10</v>
      </c>
      <c r="J6" s="27">
        <v>11</v>
      </c>
      <c r="K6" s="27">
        <v>12</v>
      </c>
      <c r="L6" s="30"/>
      <c r="M6" s="48"/>
      <c r="N6" s="49" t="s">
        <v>50</v>
      </c>
      <c r="O6" s="110" t="s">
        <v>25</v>
      </c>
      <c r="P6" s="111" t="s">
        <v>14</v>
      </c>
      <c r="R6" s="62"/>
    </row>
    <row r="7" spans="1:18" ht="36.75" customHeight="1">
      <c r="A7" s="64"/>
      <c r="B7" s="12"/>
      <c r="C7" s="13"/>
      <c r="D7" s="14"/>
      <c r="E7" s="27">
        <v>13</v>
      </c>
      <c r="F7" s="27">
        <v>14</v>
      </c>
      <c r="G7" s="27">
        <v>15</v>
      </c>
      <c r="H7" s="27">
        <v>16</v>
      </c>
      <c r="I7" s="27">
        <v>17</v>
      </c>
      <c r="J7" s="27">
        <v>18</v>
      </c>
      <c r="K7" s="27">
        <v>19</v>
      </c>
      <c r="L7" s="30"/>
      <c r="M7" s="48"/>
      <c r="N7" s="89" t="s">
        <v>51</v>
      </c>
      <c r="O7" s="116"/>
      <c r="P7" s="104"/>
      <c r="R7" s="62"/>
    </row>
    <row r="8" spans="1:18" ht="30" customHeight="1">
      <c r="A8" s="64"/>
      <c r="B8" s="12"/>
      <c r="C8" s="13"/>
      <c r="D8" s="14"/>
      <c r="E8" s="27">
        <v>20</v>
      </c>
      <c r="F8" s="27">
        <v>21</v>
      </c>
      <c r="G8" s="27">
        <v>22</v>
      </c>
      <c r="H8" s="27">
        <v>23</v>
      </c>
      <c r="I8" s="27">
        <v>24</v>
      </c>
      <c r="J8" s="27">
        <v>25</v>
      </c>
      <c r="K8" s="27">
        <v>26</v>
      </c>
      <c r="L8" s="30"/>
      <c r="M8" s="48"/>
      <c r="N8" s="89"/>
      <c r="O8" s="113"/>
      <c r="P8" s="104"/>
      <c r="R8" s="62"/>
    </row>
    <row r="9" spans="1:18" ht="30" customHeight="1">
      <c r="A9" s="64"/>
      <c r="B9" s="12"/>
      <c r="C9" s="13"/>
      <c r="D9" s="14"/>
      <c r="E9" s="27">
        <v>27</v>
      </c>
      <c r="F9" s="27">
        <v>28</v>
      </c>
      <c r="G9" s="27">
        <v>29</v>
      </c>
      <c r="H9" s="27">
        <v>30</v>
      </c>
      <c r="I9" s="27">
        <v>1</v>
      </c>
      <c r="J9" s="27">
        <v>2</v>
      </c>
      <c r="K9" s="27">
        <v>3</v>
      </c>
      <c r="L9" s="30"/>
      <c r="M9" s="52"/>
      <c r="N9" s="50"/>
      <c r="O9" s="160"/>
      <c r="P9" s="58"/>
      <c r="R9" s="62"/>
    </row>
    <row r="10" spans="1:18" ht="30" customHeight="1" thickBot="1">
      <c r="A10" s="64"/>
      <c r="B10" s="12"/>
      <c r="C10" s="15"/>
      <c r="D10" s="6"/>
      <c r="K10" s="6"/>
      <c r="L10" s="32"/>
      <c r="M10" s="53"/>
      <c r="N10" s="51"/>
      <c r="O10" s="113"/>
      <c r="P10" s="161"/>
      <c r="R10" s="62"/>
    </row>
    <row r="11" spans="1:18" ht="30" customHeight="1" thickTop="1">
      <c r="A11" s="64"/>
      <c r="B11" s="12"/>
      <c r="C11" s="12"/>
      <c r="D11" s="16"/>
      <c r="E11" s="8"/>
      <c r="F11" s="8"/>
      <c r="G11" s="8"/>
      <c r="H11" s="8"/>
      <c r="I11" s="8"/>
      <c r="J11" s="8"/>
      <c r="K11" s="8"/>
      <c r="N11" s="51"/>
      <c r="O11" s="113"/>
      <c r="P11" s="161"/>
      <c r="R11" s="62"/>
    </row>
    <row r="12" spans="1:18" ht="54" customHeight="1">
      <c r="A12" s="64"/>
      <c r="B12" s="12"/>
      <c r="C12" s="12"/>
      <c r="N12" s="54"/>
      <c r="O12" s="113"/>
      <c r="P12" s="158"/>
      <c r="R12" s="62"/>
    </row>
    <row r="13" spans="1:18" ht="29.1" customHeight="1">
      <c r="A13" s="64"/>
      <c r="B13" s="12"/>
      <c r="C13" s="12"/>
      <c r="H13" s="196"/>
      <c r="I13" s="196"/>
      <c r="J13" s="196"/>
      <c r="K13" s="196"/>
      <c r="L13" s="33"/>
      <c r="M13" s="55"/>
      <c r="N13" s="54"/>
      <c r="O13" s="116"/>
      <c r="P13" s="118"/>
      <c r="R13" s="62"/>
    </row>
    <row r="14" spans="1:18" ht="30" customHeight="1">
      <c r="A14" s="62"/>
      <c r="R14" s="62"/>
    </row>
    <row r="15" spans="1:18" ht="30" customHeight="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</sheetData>
  <mergeCells count="3">
    <mergeCell ref="D5:D6"/>
    <mergeCell ref="H13:I13"/>
    <mergeCell ref="J13:K13"/>
  </mergeCells>
  <conditionalFormatting sqref="E5:J5">
    <cfRule type="expression" dxfId="261" priority="14" stopIfTrue="1">
      <formula>DAY(E5)&gt;8</formula>
    </cfRule>
  </conditionalFormatting>
  <conditionalFormatting sqref="E5:K9">
    <cfRule type="expression" dxfId="260" priority="15">
      <formula>VLOOKUP(DAY(E5),$P:$P,1,FALSE)=DAY(E5)</formula>
    </cfRule>
  </conditionalFormatting>
  <conditionalFormatting sqref="E9:K9">
    <cfRule type="expression" dxfId="259" priority="13" stopIfTrue="1">
      <formula>AND(DAY(E9)&gt;=1,DAY(E9)&lt;=15)</formula>
    </cfRule>
  </conditionalFormatting>
  <conditionalFormatting sqref="M6:M10">
    <cfRule type="expression" dxfId="258" priority="19">
      <formula>VLOOKUP(DAY(M6),AssignmentDays,1,FALSE)=DAY(M6)</formula>
    </cfRule>
  </conditionalFormatting>
  <conditionalFormatting sqref="M10">
    <cfRule type="expression" dxfId="257" priority="18" stopIfTrue="1">
      <formula>AND(DAY(M10)&gt;=1,DAY(M10)&lt;=15)</formula>
    </cfRule>
  </conditionalFormatting>
  <dataValidations count="5">
    <dataValidation allowBlank="1" showInputMessage="1" showErrorMessage="1" prompt="November calendar. Calendar year is automatically updated based on cell D5 in Jan sheet." sqref="A1" xr:uid="{00000000-0002-0000-0500-000000000000}"/>
    <dataValidation allowBlank="1" showInputMessage="1" showErrorMessage="1" prompt="Calendar automatically highlights assignment list entries for the month. Darker fonts are assignments. Lighter fonts are days that belong to the previous or next month" sqref="D4" xr:uid="{00000000-0002-0000-0500-000001000000}"/>
    <dataValidation allowBlank="1" showInputMessage="1" showErrorMessage="1" prompt="Cells E4:K4 contain weekdays" sqref="E4" xr:uid="{00000000-0002-0000-0500-000002000000}"/>
    <dataValidation allowBlank="1" showInputMessage="1" showErrorMessage="1" prompt="Enter the assignment details in this column that correspond to the weekday in column N and day in column O for the calendar month at left" sqref="N4:O4" xr:uid="{00000000-0002-0000-0500-000003000000}"/>
    <dataValidation allowBlank="1" showInputMessage="1" showErrorMessage="1" prompt="Calendar year is automatically updated in this cell. To change the calendar year, to go cell D5 in Jan worksheet." sqref="D5:D6" xr:uid="{00000000-0002-0000-0500-000006000000}"/>
  </dataValidations>
  <printOptions horizontalCentered="1" verticalCentered="1"/>
  <pageMargins left="0.25" right="0.25" top="0.5" bottom="0.5" header="0.3" footer="0.3"/>
  <pageSetup scale="4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D04625E-7F93-4D61-8B3B-DD076EE77071}">
            <xm:f>List!$A$8=O1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" id="{1F565904-2383-4E41-A79A-12FFECF37267}">
            <xm:f>List!$A$9=O1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3" id="{E6E562BE-5F06-497E-8783-EFF73E4DB24B}">
            <xm:f>List!$A$7=O1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4" id="{B50E7682-4711-4CD1-9192-97877CBD0689}">
            <xm:f>List!$A$6=O1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5" id="{8D9C7877-9012-46D9-B94D-D4557CCDF2DF}">
            <xm:f>List!$A$5=O1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6" id="{EA5B6722-B914-4BBA-BFDB-F777737B44B0}">
            <xm:f>List!$A$4=O1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7" id="{0BFE1266-FE20-4B34-8D5E-A26E5D76C7FF}">
            <xm:f>List!$A$3=O1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8" id="{71DEB6BD-5921-46F8-B871-38E49627B1A1}">
            <xm:f>List!$A$2=O1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7C1E3-A8C2-47E9-B744-1D7095E157F9}">
          <x14:formula1>
            <xm:f>List!$A$2:$A$11</xm:f>
          </x14:formula1>
          <xm:sqref>O7:O13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6031-D93E-44CE-81B2-C801B0728CA0}">
  <dimension ref="A1:F23"/>
  <sheetViews>
    <sheetView workbookViewId="0">
      <selection activeCell="F8" sqref="F8"/>
    </sheetView>
  </sheetViews>
  <sheetFormatPr defaultRowHeight="14.25"/>
  <cols>
    <col min="5" max="5" width="21.625" bestFit="1" customWidth="1"/>
    <col min="6" max="6" width="8.875" bestFit="1" customWidth="1"/>
  </cols>
  <sheetData>
    <row r="1" spans="1:6" ht="28.5">
      <c r="A1" t="s">
        <v>25</v>
      </c>
      <c r="E1" s="121" t="s">
        <v>40</v>
      </c>
      <c r="F1" t="s">
        <v>42</v>
      </c>
    </row>
    <row r="2" spans="1:6" ht="57">
      <c r="A2" t="s">
        <v>29</v>
      </c>
      <c r="E2" s="122" t="s">
        <v>38</v>
      </c>
      <c r="F2">
        <v>1</v>
      </c>
    </row>
    <row r="3" spans="1:6" ht="57">
      <c r="A3" t="s">
        <v>29</v>
      </c>
      <c r="E3" s="122" t="s">
        <v>31</v>
      </c>
      <c r="F3">
        <v>3</v>
      </c>
    </row>
    <row r="4" spans="1:6" ht="28.5">
      <c r="A4" t="s">
        <v>26</v>
      </c>
      <c r="E4" s="122" t="s">
        <v>26</v>
      </c>
      <c r="F4">
        <v>8</v>
      </c>
    </row>
    <row r="5" spans="1:6" ht="28.5">
      <c r="A5" t="s">
        <v>26</v>
      </c>
      <c r="E5" s="122" t="s">
        <v>29</v>
      </c>
      <c r="F5">
        <v>4</v>
      </c>
    </row>
    <row r="6" spans="1:6" ht="71.25">
      <c r="A6" t="s">
        <v>37</v>
      </c>
      <c r="E6" s="122" t="s">
        <v>30</v>
      </c>
      <c r="F6">
        <v>2</v>
      </c>
    </row>
    <row r="7" spans="1:6" ht="28.5">
      <c r="A7" t="s">
        <v>39</v>
      </c>
      <c r="E7" s="122" t="s">
        <v>27</v>
      </c>
      <c r="F7">
        <v>1</v>
      </c>
    </row>
    <row r="8" spans="1:6" ht="42.75">
      <c r="A8" t="s">
        <v>31</v>
      </c>
      <c r="E8" s="122" t="s">
        <v>37</v>
      </c>
      <c r="F8">
        <v>2</v>
      </c>
    </row>
    <row r="9" spans="1:6" ht="28.5">
      <c r="A9" t="s">
        <v>38</v>
      </c>
      <c r="E9" s="122" t="s">
        <v>39</v>
      </c>
      <c r="F9">
        <v>1</v>
      </c>
    </row>
    <row r="10" spans="1:6" ht="28.5">
      <c r="A10" t="s">
        <v>26</v>
      </c>
      <c r="E10" s="122" t="s">
        <v>41</v>
      </c>
      <c r="F10">
        <v>22</v>
      </c>
    </row>
    <row r="11" spans="1:6" ht="28.5">
      <c r="A11" t="s">
        <v>26</v>
      </c>
    </row>
    <row r="12" spans="1:6" ht="28.5">
      <c r="A12" t="s">
        <v>26</v>
      </c>
    </row>
    <row r="13" spans="1:6" ht="42.75">
      <c r="A13" t="s">
        <v>30</v>
      </c>
    </row>
    <row r="14" spans="1:6">
      <c r="A14" t="s">
        <v>27</v>
      </c>
    </row>
    <row r="15" spans="1:6" ht="57">
      <c r="A15" t="s">
        <v>29</v>
      </c>
    </row>
    <row r="16" spans="1:6" ht="28.5">
      <c r="A16" t="s">
        <v>26</v>
      </c>
    </row>
    <row r="17" spans="1:1" ht="28.5">
      <c r="A17" t="s">
        <v>26</v>
      </c>
    </row>
    <row r="18" spans="1:1" ht="28.5">
      <c r="A18" t="s">
        <v>26</v>
      </c>
    </row>
    <row r="19" spans="1:1" ht="42.75">
      <c r="A19" t="s">
        <v>30</v>
      </c>
    </row>
    <row r="20" spans="1:1" ht="71.25">
      <c r="A20" t="s">
        <v>37</v>
      </c>
    </row>
    <row r="21" spans="1:1" ht="42.75">
      <c r="A21" t="s">
        <v>31</v>
      </c>
    </row>
    <row r="22" spans="1:1" ht="42.75">
      <c r="A22" t="s">
        <v>31</v>
      </c>
    </row>
    <row r="23" spans="1:1" ht="57">
      <c r="A23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R40"/>
  <sheetViews>
    <sheetView showGridLines="0" zoomScale="70" zoomScaleNormal="70" zoomScalePageLayoutView="84" workbookViewId="0">
      <selection activeCell="P10" sqref="P7:P10"/>
    </sheetView>
  </sheetViews>
  <sheetFormatPr defaultColWidth="8.625" defaultRowHeight="30" customHeight="1"/>
  <cols>
    <col min="1" max="2" width="5.625" customWidth="1"/>
    <col min="3" max="3" width="2.625" customWidth="1"/>
    <col min="4" max="4" width="24.625" customWidth="1"/>
    <col min="5" max="10" width="12.625" customWidth="1"/>
    <col min="11" max="11" width="24.625" customWidth="1"/>
    <col min="12" max="12" width="2.625" customWidth="1"/>
    <col min="13" max="13" width="5.625" style="1" customWidth="1"/>
    <col min="14" max="14" width="75.5" style="2" customWidth="1"/>
    <col min="15" max="15" width="28.625" style="2" customWidth="1"/>
    <col min="16" max="16" width="78.875" style="3" customWidth="1"/>
    <col min="17" max="17" width="8" style="3" customWidth="1"/>
    <col min="18" max="18" width="5.625" customWidth="1"/>
  </cols>
  <sheetData>
    <row r="1" spans="1:18" ht="30" customHeight="1">
      <c r="A1" s="4"/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30" customHeight="1" thickBot="1">
      <c r="A2" s="4"/>
      <c r="D2" s="6"/>
      <c r="E2" s="6"/>
      <c r="F2" s="6"/>
      <c r="G2" s="6"/>
      <c r="H2" s="6"/>
      <c r="I2" s="6"/>
      <c r="J2" s="6"/>
      <c r="K2" s="6"/>
      <c r="N2" s="103"/>
      <c r="O2" s="106"/>
      <c r="P2" s="40"/>
      <c r="Q2" s="40"/>
      <c r="R2" s="4"/>
    </row>
    <row r="3" spans="1:18" ht="30" customHeight="1" thickTop="1" thickBot="1">
      <c r="A3" s="4"/>
      <c r="C3" s="7"/>
      <c r="D3" s="8"/>
      <c r="E3" s="8"/>
      <c r="F3" s="8"/>
      <c r="G3" s="8"/>
      <c r="H3" s="8"/>
      <c r="I3" s="8"/>
      <c r="J3" s="8"/>
      <c r="K3" s="8"/>
      <c r="L3" s="28"/>
      <c r="N3" s="41"/>
      <c r="O3" s="107"/>
      <c r="P3" s="42"/>
      <c r="Q3" s="140"/>
      <c r="R3" s="4"/>
    </row>
    <row r="4" spans="1:18" ht="35.1" customHeight="1" thickTop="1">
      <c r="A4" s="4"/>
      <c r="C4" s="9"/>
      <c r="D4" s="10" t="s">
        <v>18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Q4" s="141"/>
      <c r="R4" s="4"/>
    </row>
    <row r="5" spans="1:18" ht="30" customHeight="1">
      <c r="A5" s="11"/>
      <c r="B5" s="12"/>
      <c r="C5" s="13"/>
      <c r="D5" s="195">
        <f ca="1">CalendarYear</f>
        <v>2026</v>
      </c>
      <c r="E5" s="27">
        <f ca="1">IF(DAY(MaySun1)=1,MaySun1-6,MaySun1+1)</f>
        <v>46139</v>
      </c>
      <c r="F5" s="27">
        <f ca="1">IF(DAY(MaySun1)=1,MaySun1-5,MaySun1+2)</f>
        <v>46140</v>
      </c>
      <c r="G5" s="27">
        <f ca="1">IF(DAY(MaySun1)=1,MaySun1-4,MaySun1+3)</f>
        <v>46141</v>
      </c>
      <c r="H5" s="27">
        <f ca="1">IF(DAY(MaySun1)=1,MaySun1-3,MaySun1+4)</f>
        <v>46142</v>
      </c>
      <c r="I5" s="27">
        <f ca="1">IF(DAY(MaySun1)=1,MaySun1-2,MaySun1+5)</f>
        <v>46143</v>
      </c>
      <c r="J5" s="27">
        <f ca="1">IF(DAY(MaySun1)=1,MaySun1-1,MaySun1+6)</f>
        <v>46144</v>
      </c>
      <c r="K5" s="27">
        <f ca="1">IF(DAY(MaySun1)=1,MaySun1,MaySun1+7)</f>
        <v>46145</v>
      </c>
      <c r="L5" s="30"/>
      <c r="M5" s="45"/>
      <c r="N5" s="46"/>
      <c r="O5" s="109"/>
      <c r="P5" s="47"/>
      <c r="Q5" s="140"/>
      <c r="R5" s="4"/>
    </row>
    <row r="6" spans="1:18" ht="30" customHeight="1">
      <c r="A6" s="11"/>
      <c r="B6" s="12"/>
      <c r="C6" s="13"/>
      <c r="D6" s="195"/>
      <c r="E6" s="27">
        <f ca="1">IF(DAY(MaySun1)=1,MaySun1+1,MaySun1+8)</f>
        <v>46146</v>
      </c>
      <c r="F6" s="27">
        <f ca="1">IF(DAY(MaySun1)=1,MaySun1+2,MaySun1+9)</f>
        <v>46147</v>
      </c>
      <c r="G6" s="27">
        <f ca="1">IF(DAY(MaySun1)=1,MaySun1+3,MaySun1+10)</f>
        <v>46148</v>
      </c>
      <c r="H6" s="27">
        <f ca="1">IF(DAY(MaySun1)=1,MaySun1+4,MaySun1+11)</f>
        <v>46149</v>
      </c>
      <c r="I6" s="27">
        <f ca="1">IF(DAY(MaySun1)=1,MaySun1+5,MaySun1+12)</f>
        <v>46150</v>
      </c>
      <c r="J6" s="27">
        <f ca="1">IF(DAY(MaySun1)=1,MaySun1+6,MaySun1+13)</f>
        <v>46151</v>
      </c>
      <c r="K6" s="27">
        <f ca="1">IF(DAY(MaySun1)=1,MaySun1+7,MaySun1+14)</f>
        <v>46152</v>
      </c>
      <c r="L6" s="30"/>
      <c r="M6" s="48"/>
      <c r="N6" s="49" t="s">
        <v>50</v>
      </c>
      <c r="O6" s="162" t="s">
        <v>25</v>
      </c>
      <c r="P6" s="56" t="s">
        <v>14</v>
      </c>
      <c r="Q6" s="142"/>
      <c r="R6" s="4"/>
    </row>
    <row r="7" spans="1:18" ht="30" customHeight="1">
      <c r="A7" s="11"/>
      <c r="B7" s="12"/>
      <c r="C7" s="13"/>
      <c r="D7" s="14"/>
      <c r="E7" s="27">
        <f ca="1">IF(DAY(MaySun1)=1,MaySun1+8,MaySun1+15)</f>
        <v>46153</v>
      </c>
      <c r="F7" s="27">
        <f ca="1">IF(DAY(MaySun1)=1,MaySun1+9,MaySun1+16)</f>
        <v>46154</v>
      </c>
      <c r="G7" s="27">
        <f ca="1">IF(DAY(MaySun1)=1,MaySun1+10,MaySun1+17)</f>
        <v>46155</v>
      </c>
      <c r="H7" s="27">
        <f ca="1">IF(DAY(MaySun1)=1,MaySun1+11,MaySun1+18)</f>
        <v>46156</v>
      </c>
      <c r="I7" s="27">
        <f ca="1">IF(DAY(MaySun1)=1,MaySun1+12,MaySun1+19)</f>
        <v>46157</v>
      </c>
      <c r="J7" s="27">
        <f ca="1">IF(DAY(MaySun1)=1,MaySun1+13,MaySun1+20)</f>
        <v>46158</v>
      </c>
      <c r="K7" s="27">
        <f ca="1">IF(DAY(MaySun1)=1,MaySun1+14,MaySun1+21)</f>
        <v>46159</v>
      </c>
      <c r="L7" s="30"/>
      <c r="M7" s="48"/>
      <c r="N7" s="89" t="s">
        <v>52</v>
      </c>
      <c r="O7" s="201" t="s">
        <v>26</v>
      </c>
      <c r="P7" s="211"/>
      <c r="Q7" s="143"/>
      <c r="R7" s="4"/>
    </row>
    <row r="8" spans="1:18" ht="30" customHeight="1">
      <c r="A8" s="11"/>
      <c r="B8" s="12"/>
      <c r="C8" s="13"/>
      <c r="D8" s="14"/>
      <c r="E8" s="27">
        <f ca="1">IF(DAY(MaySun1)=1,MaySun1+15,MaySun1+22)</f>
        <v>46160</v>
      </c>
      <c r="F8" s="27">
        <f ca="1">IF(DAY(MaySun1)=1,MaySun1+16,MaySun1+23)</f>
        <v>46161</v>
      </c>
      <c r="G8" s="27">
        <f ca="1">IF(DAY(MaySun1)=1,MaySun1+17,MaySun1+24)</f>
        <v>46162</v>
      </c>
      <c r="H8" s="27">
        <f ca="1">IF(DAY(MaySun1)=1,MaySun1+18,MaySun1+25)</f>
        <v>46163</v>
      </c>
      <c r="I8" s="27">
        <f ca="1">IF(DAY(MaySun1)=1,MaySun1+19,MaySun1+26)</f>
        <v>46164</v>
      </c>
      <c r="J8" s="27">
        <f ca="1">IF(DAY(MaySun1)=1,MaySun1+20,MaySun1+27)</f>
        <v>46165</v>
      </c>
      <c r="K8" s="27">
        <f ca="1">IF(DAY(MaySun1)=1,MaySun1+21,MaySun1+28)</f>
        <v>46166</v>
      </c>
      <c r="L8" s="30"/>
      <c r="M8" s="48"/>
      <c r="N8" s="176" t="s">
        <v>32</v>
      </c>
      <c r="O8" s="202"/>
      <c r="P8" s="212"/>
      <c r="Q8" s="144"/>
      <c r="R8" s="4"/>
    </row>
    <row r="9" spans="1:18" ht="30" customHeight="1">
      <c r="A9" s="11"/>
      <c r="B9" s="12"/>
      <c r="C9" s="13"/>
      <c r="D9" s="14"/>
      <c r="E9" s="27">
        <f ca="1">IF(DAY(MaySun1)=1,MaySun1+22,MaySun1+29)</f>
        <v>46167</v>
      </c>
      <c r="F9" s="27">
        <f ca="1">IF(DAY(MaySun1)=1,MaySun1+23,MaySun1+30)</f>
        <v>46168</v>
      </c>
      <c r="G9" s="27">
        <f ca="1">IF(DAY(MaySun1)=1,MaySun1+24,MaySun1+31)</f>
        <v>46169</v>
      </c>
      <c r="H9" s="27">
        <f ca="1">IF(DAY(MaySun1)=1,MaySun1+25,MaySun1+32)</f>
        <v>46170</v>
      </c>
      <c r="I9" s="27">
        <f ca="1">IF(DAY(MaySun1)=1,MaySun1+26,MaySun1+33)</f>
        <v>46171</v>
      </c>
      <c r="J9" s="27">
        <f ca="1">IF(DAY(MaySun1)=1,MaySun1+27,MaySun1+34)</f>
        <v>46172</v>
      </c>
      <c r="K9" s="27">
        <f ca="1">IF(DAY(MaySun1)=1,MaySun1+28,MaySun1+35)</f>
        <v>46173</v>
      </c>
      <c r="L9" s="30"/>
      <c r="M9" s="52"/>
      <c r="N9" s="50"/>
      <c r="O9" s="113" t="s">
        <v>31</v>
      </c>
      <c r="P9" s="58"/>
      <c r="Q9" s="145"/>
      <c r="R9" s="4"/>
    </row>
    <row r="10" spans="1:18" ht="30" customHeight="1" thickBot="1">
      <c r="A10" s="11"/>
      <c r="B10" s="12"/>
      <c r="C10" s="15"/>
      <c r="D10" s="181"/>
      <c r="E10" s="182">
        <f ca="1">IF(DAY(MaySun1)=1,MaySun1+29,MaySun1+36)</f>
        <v>46174</v>
      </c>
      <c r="F10" s="182">
        <f ca="1">IF(DAY(MaySun1)=1,MaySun1+30,MaySun1+37)</f>
        <v>46175</v>
      </c>
      <c r="G10" s="182">
        <f ca="1">IF(DAY(MaySun1)=1,MaySun1+31,MaySun1+38)</f>
        <v>46176</v>
      </c>
      <c r="H10" s="182">
        <f ca="1">IF(DAY(MaySun1)=1,MaySun1+32,MaySun1+39)</f>
        <v>46177</v>
      </c>
      <c r="I10" s="182">
        <f ca="1">IF(DAY(MaySun1)=1,MaySun1+33,MaySun1+40)</f>
        <v>46178</v>
      </c>
      <c r="J10" s="182">
        <f ca="1">IF(DAY(MaySun1)=1,MaySun1+34,MaySun1+41)</f>
        <v>46179</v>
      </c>
      <c r="K10" s="182">
        <f ca="1">IF(DAY(MaySun1)=1,MaySun1+35,MaySun1+42)</f>
        <v>46180</v>
      </c>
      <c r="L10" s="183"/>
      <c r="M10" s="48"/>
      <c r="N10" s="51"/>
      <c r="O10" s="113"/>
      <c r="P10" s="104"/>
      <c r="Q10" s="146"/>
      <c r="R10" s="4"/>
    </row>
    <row r="11" spans="1:18" ht="30" customHeight="1" thickTop="1">
      <c r="A11" s="11"/>
      <c r="B11" s="12"/>
      <c r="C11" s="13"/>
      <c r="D11" s="14"/>
      <c r="E11" s="27"/>
      <c r="F11" s="27"/>
      <c r="G11" s="27"/>
      <c r="H11" s="27"/>
      <c r="I11" s="27"/>
      <c r="J11" s="27"/>
      <c r="K11" s="27"/>
      <c r="L11" s="31"/>
      <c r="M11" s="48"/>
      <c r="N11" s="51"/>
      <c r="O11" s="113"/>
      <c r="P11" s="104"/>
      <c r="Q11" s="146"/>
      <c r="R11" s="4"/>
    </row>
    <row r="12" spans="1:18" ht="30" customHeight="1">
      <c r="A12" s="11"/>
      <c r="B12" s="12"/>
      <c r="C12" s="13"/>
      <c r="H12" s="196" t="s">
        <v>0</v>
      </c>
      <c r="I12" s="196"/>
      <c r="J12" s="196" t="s">
        <v>1</v>
      </c>
      <c r="K12" s="196"/>
      <c r="L12" s="31"/>
      <c r="M12" s="48"/>
      <c r="N12" s="51"/>
      <c r="O12" s="113"/>
      <c r="P12" s="104"/>
      <c r="Q12" s="146"/>
      <c r="R12" s="4"/>
    </row>
    <row r="13" spans="1:18" ht="30" customHeight="1">
      <c r="A13" s="11"/>
      <c r="B13" s="12"/>
      <c r="C13" s="13"/>
      <c r="D13" s="213"/>
      <c r="F13" s="119"/>
      <c r="G13" s="17"/>
      <c r="H13" s="196"/>
      <c r="I13" s="196"/>
      <c r="J13" s="196"/>
      <c r="K13" s="196"/>
      <c r="L13" s="31"/>
      <c r="M13" s="48"/>
      <c r="N13" s="51"/>
      <c r="O13" s="113"/>
      <c r="P13" s="104"/>
      <c r="Q13" s="146"/>
      <c r="R13" s="4"/>
    </row>
    <row r="14" spans="1:18" ht="30" customHeight="1">
      <c r="A14" s="11"/>
      <c r="B14" s="12"/>
      <c r="C14" s="13"/>
      <c r="D14" s="213"/>
      <c r="E14" s="27"/>
      <c r="F14" s="27"/>
      <c r="G14" s="27"/>
      <c r="H14" s="27"/>
      <c r="I14" s="27"/>
      <c r="J14" s="27"/>
      <c r="K14" s="27"/>
      <c r="L14" s="31"/>
      <c r="M14" s="48"/>
      <c r="N14" s="51"/>
      <c r="O14" s="113"/>
      <c r="P14" s="104"/>
      <c r="Q14" s="146"/>
      <c r="R14" s="4"/>
    </row>
    <row r="15" spans="1:18" ht="34.5" customHeight="1">
      <c r="A15" s="19"/>
      <c r="B15" s="20"/>
      <c r="C15" s="21"/>
      <c r="L15" s="34"/>
      <c r="M15" s="59"/>
      <c r="N15" s="89"/>
      <c r="O15" s="159"/>
      <c r="P15" s="175"/>
      <c r="Q15" s="142"/>
      <c r="R15" s="4"/>
    </row>
    <row r="16" spans="1:18" ht="30" customHeight="1">
      <c r="A16" s="19"/>
      <c r="B16" s="20"/>
      <c r="C16" s="21"/>
      <c r="D16" s="22"/>
      <c r="E16" s="193"/>
      <c r="F16" s="193"/>
      <c r="G16" s="193"/>
      <c r="H16" s="193"/>
      <c r="I16" s="193"/>
      <c r="J16" s="193"/>
      <c r="K16" s="22"/>
      <c r="L16" s="35"/>
      <c r="N16" s="176"/>
      <c r="O16" s="159"/>
      <c r="P16" s="175"/>
      <c r="Q16" s="143"/>
      <c r="R16" s="4"/>
    </row>
    <row r="17" spans="1:18" ht="30" customHeight="1">
      <c r="A17" s="19"/>
      <c r="B17" s="20"/>
      <c r="C17" s="21"/>
      <c r="D17" s="23"/>
      <c r="E17" s="194"/>
      <c r="F17" s="194"/>
      <c r="G17" s="194"/>
      <c r="H17" s="194"/>
      <c r="I17" s="194"/>
      <c r="J17" s="194"/>
      <c r="K17" s="23"/>
      <c r="L17" s="36"/>
      <c r="N17" s="114"/>
      <c r="O17" s="201"/>
      <c r="P17" s="200"/>
      <c r="Q17" s="144"/>
      <c r="R17" s="4"/>
    </row>
    <row r="18" spans="1:18" ht="30" customHeight="1">
      <c r="A18" s="19"/>
      <c r="B18" s="20"/>
      <c r="C18" s="21"/>
      <c r="D18" s="22"/>
      <c r="E18" s="193"/>
      <c r="F18" s="193"/>
      <c r="G18" s="193"/>
      <c r="H18" s="193"/>
      <c r="I18" s="193"/>
      <c r="J18" s="193"/>
      <c r="K18" s="22"/>
      <c r="L18" s="35"/>
      <c r="N18" s="50"/>
      <c r="O18" s="202"/>
      <c r="P18" s="199"/>
      <c r="Q18" s="145"/>
      <c r="R18" s="4"/>
    </row>
    <row r="19" spans="1:18" ht="30" customHeight="1">
      <c r="A19" s="19"/>
      <c r="B19" s="20"/>
      <c r="C19" s="21"/>
      <c r="D19" s="23"/>
      <c r="E19" s="194"/>
      <c r="F19" s="194"/>
      <c r="G19" s="194"/>
      <c r="H19" s="194"/>
      <c r="I19" s="194"/>
      <c r="J19" s="194"/>
      <c r="K19" s="23"/>
      <c r="L19" s="36"/>
      <c r="N19" s="51"/>
      <c r="O19" s="201"/>
      <c r="P19" s="200"/>
      <c r="Q19" s="146"/>
      <c r="R19" s="4"/>
    </row>
    <row r="20" spans="1:18" ht="30" customHeight="1">
      <c r="A20" s="19"/>
      <c r="B20" s="20"/>
      <c r="C20" s="21"/>
      <c r="D20" s="22"/>
      <c r="E20" s="193"/>
      <c r="F20" s="193"/>
      <c r="G20" s="193"/>
      <c r="H20" s="193"/>
      <c r="I20" s="193"/>
      <c r="J20" s="193"/>
      <c r="K20" s="22"/>
      <c r="L20" s="35"/>
      <c r="N20" s="54"/>
      <c r="O20" s="202"/>
      <c r="P20" s="199"/>
      <c r="Q20" s="146"/>
      <c r="R20" s="4"/>
    </row>
    <row r="21" spans="1:18" ht="30" customHeight="1">
      <c r="A21" s="19"/>
      <c r="B21" s="20"/>
      <c r="C21" s="21"/>
      <c r="D21" s="23"/>
      <c r="E21" s="194"/>
      <c r="F21" s="194"/>
      <c r="G21" s="194"/>
      <c r="H21" s="194"/>
      <c r="I21" s="194"/>
      <c r="J21" s="194"/>
      <c r="K21" s="23"/>
      <c r="L21" s="36"/>
      <c r="N21" s="51"/>
      <c r="O21" s="113"/>
      <c r="P21" s="118"/>
      <c r="Q21" s="147"/>
      <c r="R21" s="4"/>
    </row>
    <row r="22" spans="1:18" ht="30" customHeight="1">
      <c r="A22" s="19"/>
      <c r="B22" s="20"/>
      <c r="C22" s="21"/>
      <c r="D22" s="22"/>
      <c r="E22" s="193"/>
      <c r="F22" s="193"/>
      <c r="G22" s="193"/>
      <c r="H22" s="193"/>
      <c r="I22" s="193"/>
      <c r="J22" s="193"/>
      <c r="K22" s="22"/>
      <c r="L22" s="37"/>
      <c r="N22" s="54"/>
      <c r="O22" s="116"/>
      <c r="P22" s="118"/>
      <c r="Q22" s="148"/>
      <c r="R22" s="4"/>
    </row>
    <row r="23" spans="1:18" ht="30" customHeight="1">
      <c r="A23" s="19"/>
      <c r="B23" s="20"/>
      <c r="C23" s="21"/>
      <c r="D23" s="23"/>
      <c r="E23" s="194"/>
      <c r="F23" s="194"/>
      <c r="G23" s="194"/>
      <c r="H23" s="194"/>
      <c r="I23" s="194"/>
      <c r="J23" s="194"/>
      <c r="K23" s="23"/>
      <c r="L23" s="36"/>
      <c r="N23" s="50"/>
      <c r="O23" s="116"/>
      <c r="P23" s="118"/>
      <c r="Q23" s="148"/>
      <c r="R23" s="4"/>
    </row>
    <row r="24" spans="1:18" ht="50.1" customHeight="1">
      <c r="A24" s="19"/>
      <c r="B24" s="20"/>
      <c r="C24" s="21"/>
      <c r="D24" s="22"/>
      <c r="E24" s="193"/>
      <c r="F24" s="193"/>
      <c r="G24" s="193"/>
      <c r="H24" s="193"/>
      <c r="I24" s="193"/>
      <c r="J24" s="193"/>
      <c r="K24" s="22"/>
      <c r="L24" s="35"/>
      <c r="N24" s="51"/>
      <c r="O24" s="113"/>
      <c r="P24" s="104"/>
      <c r="Q24" s="143"/>
      <c r="R24" s="4"/>
    </row>
    <row r="25" spans="1:18" ht="42.95" customHeight="1">
      <c r="A25" s="19"/>
      <c r="B25" s="20"/>
      <c r="C25" s="21"/>
      <c r="D25" s="23"/>
      <c r="E25" s="194"/>
      <c r="F25" s="194"/>
      <c r="G25" s="194"/>
      <c r="H25" s="194"/>
      <c r="I25" s="194"/>
      <c r="J25" s="194"/>
      <c r="K25" s="23"/>
      <c r="L25" s="36"/>
      <c r="N25" s="49"/>
      <c r="O25" s="162"/>
      <c r="P25" s="56"/>
      <c r="Q25" s="142"/>
      <c r="R25" s="4"/>
    </row>
    <row r="26" spans="1:18" ht="39" customHeight="1">
      <c r="A26" s="19"/>
      <c r="B26" s="20"/>
      <c r="C26" s="21"/>
      <c r="D26" s="22"/>
      <c r="E26" s="193"/>
      <c r="F26" s="193"/>
      <c r="G26" s="193"/>
      <c r="H26" s="193"/>
      <c r="I26" s="193"/>
      <c r="J26" s="193"/>
      <c r="K26" s="22"/>
      <c r="L26" s="35"/>
      <c r="N26" s="89"/>
      <c r="O26" s="113"/>
      <c r="P26" s="104"/>
      <c r="Q26" s="143"/>
      <c r="R26" s="4"/>
    </row>
    <row r="27" spans="1:18" ht="30" customHeight="1">
      <c r="A27" s="19"/>
      <c r="B27" s="20"/>
      <c r="C27" s="21"/>
      <c r="D27" s="23"/>
      <c r="E27" s="194"/>
      <c r="F27" s="194"/>
      <c r="G27" s="194"/>
      <c r="H27" s="194"/>
      <c r="I27" s="194"/>
      <c r="J27" s="194"/>
      <c r="K27" s="23"/>
      <c r="L27" s="36"/>
      <c r="N27" s="114"/>
      <c r="O27" s="113"/>
      <c r="P27" s="104"/>
      <c r="Q27" s="143"/>
      <c r="R27" s="4"/>
    </row>
    <row r="28" spans="1:18" ht="47.1" customHeight="1">
      <c r="A28" s="19"/>
      <c r="B28" s="20"/>
      <c r="C28" s="21"/>
      <c r="D28" s="22"/>
      <c r="E28" s="193"/>
      <c r="F28" s="193"/>
      <c r="G28" s="193"/>
      <c r="H28" s="193"/>
      <c r="I28" s="193"/>
      <c r="J28" s="193"/>
      <c r="K28" s="22"/>
      <c r="L28" s="35"/>
      <c r="N28" s="50"/>
      <c r="O28" s="160"/>
      <c r="P28" s="104"/>
      <c r="Q28" s="144"/>
      <c r="R28" s="4"/>
    </row>
    <row r="29" spans="1:18" ht="30" customHeight="1">
      <c r="A29" s="19"/>
      <c r="B29" s="20"/>
      <c r="C29" s="21"/>
      <c r="D29" s="23"/>
      <c r="E29" s="194"/>
      <c r="F29" s="194"/>
      <c r="G29" s="194"/>
      <c r="H29" s="194"/>
      <c r="I29" s="194"/>
      <c r="J29" s="194"/>
      <c r="K29" s="23"/>
      <c r="L29" s="36"/>
      <c r="N29" s="51"/>
      <c r="O29" s="160"/>
      <c r="P29" s="104"/>
      <c r="Q29" s="144"/>
      <c r="R29" s="4"/>
    </row>
    <row r="30" spans="1:18" ht="30" customHeight="1">
      <c r="A30" s="19"/>
      <c r="B30" s="20"/>
      <c r="C30" s="21"/>
      <c r="D30" s="22"/>
      <c r="E30" s="193"/>
      <c r="F30" s="193"/>
      <c r="G30" s="193"/>
      <c r="H30" s="193"/>
      <c r="I30" s="193"/>
      <c r="J30" s="193"/>
      <c r="K30" s="22"/>
      <c r="L30" s="35"/>
      <c r="N30" s="51"/>
      <c r="O30" s="113"/>
      <c r="P30" s="118"/>
      <c r="Q30" s="148"/>
      <c r="R30" s="4"/>
    </row>
    <row r="31" spans="1:18" ht="30" customHeight="1">
      <c r="A31" s="19"/>
      <c r="B31" s="20"/>
      <c r="C31" s="21"/>
      <c r="D31" s="23"/>
      <c r="E31" s="194"/>
      <c r="F31" s="194"/>
      <c r="G31" s="194"/>
      <c r="H31" s="194"/>
      <c r="I31" s="194"/>
      <c r="J31" s="194"/>
      <c r="K31" s="23"/>
      <c r="L31" s="36"/>
      <c r="N31" s="54"/>
      <c r="O31" s="113"/>
      <c r="P31" s="118"/>
      <c r="Q31" s="148"/>
      <c r="R31" s="4"/>
    </row>
    <row r="32" spans="1:18" ht="30" customHeight="1">
      <c r="A32" s="19"/>
      <c r="B32" s="20"/>
      <c r="C32" s="21"/>
      <c r="D32" s="22"/>
      <c r="E32" s="193"/>
      <c r="F32" s="193"/>
      <c r="G32" s="193"/>
      <c r="H32" s="193"/>
      <c r="I32" s="193"/>
      <c r="J32" s="193"/>
      <c r="K32" s="22"/>
      <c r="L32" s="35"/>
      <c r="N32" s="54"/>
      <c r="O32" s="116"/>
      <c r="P32" s="118"/>
      <c r="Q32" s="148"/>
      <c r="R32" s="4"/>
    </row>
    <row r="33" spans="1:18" ht="30" customHeight="1">
      <c r="A33" s="4"/>
      <c r="B33" s="20"/>
      <c r="C33" s="21"/>
      <c r="D33" s="23"/>
      <c r="E33" s="194"/>
      <c r="F33" s="194"/>
      <c r="G33" s="194"/>
      <c r="H33" s="194"/>
      <c r="I33" s="194"/>
      <c r="J33" s="194"/>
      <c r="K33" s="23"/>
      <c r="L33" s="35"/>
      <c r="N33" s="50"/>
      <c r="O33" s="116"/>
      <c r="P33" s="118"/>
      <c r="Q33" s="148"/>
      <c r="R33" s="4"/>
    </row>
    <row r="34" spans="1:18" ht="30" customHeight="1">
      <c r="A34" s="4"/>
      <c r="B34" s="20"/>
      <c r="C34" s="21"/>
      <c r="D34" s="23"/>
      <c r="E34" s="194"/>
      <c r="F34" s="194"/>
      <c r="G34" s="194"/>
      <c r="H34" s="194"/>
      <c r="I34" s="194"/>
      <c r="J34" s="194"/>
      <c r="K34" s="23"/>
      <c r="L34" s="36"/>
      <c r="N34" s="51"/>
      <c r="O34" s="116"/>
      <c r="P34" s="104"/>
      <c r="Q34" s="143"/>
      <c r="R34" s="4"/>
    </row>
    <row r="35" spans="1:18" ht="30" customHeight="1">
      <c r="A35" s="4"/>
      <c r="B35" s="20"/>
      <c r="C35" s="21"/>
      <c r="D35" s="22"/>
      <c r="E35" s="193"/>
      <c r="F35" s="193"/>
      <c r="G35" s="193"/>
      <c r="H35" s="193"/>
      <c r="I35" s="193"/>
      <c r="J35" s="193"/>
      <c r="K35" s="22"/>
      <c r="L35" s="35"/>
      <c r="N35" s="50"/>
      <c r="O35" s="112"/>
      <c r="P35" s="58"/>
      <c r="Q35" s="149"/>
      <c r="R35" s="4"/>
    </row>
    <row r="36" spans="1:18" ht="30" customHeight="1" thickBot="1">
      <c r="A36" s="4"/>
      <c r="B36" s="20"/>
      <c r="C36" s="21"/>
      <c r="D36" s="23"/>
      <c r="E36" s="194"/>
      <c r="F36" s="194"/>
      <c r="G36" s="194"/>
      <c r="H36" s="194"/>
      <c r="I36" s="194"/>
      <c r="J36" s="194"/>
      <c r="K36" s="23"/>
      <c r="L36" s="36"/>
      <c r="N36" s="61"/>
      <c r="O36" s="112"/>
      <c r="P36" s="58"/>
      <c r="Q36" s="149"/>
      <c r="R36" s="4"/>
    </row>
    <row r="37" spans="1:18" ht="30" customHeight="1" thickTop="1" thickBot="1">
      <c r="A37" s="4"/>
      <c r="B37" s="20"/>
      <c r="C37" s="21"/>
      <c r="D37" s="23"/>
      <c r="E37" s="194"/>
      <c r="F37" s="194"/>
      <c r="G37" s="194"/>
      <c r="H37" s="194"/>
      <c r="I37" s="194"/>
      <c r="J37" s="194"/>
      <c r="K37" s="23"/>
      <c r="L37" s="36"/>
      <c r="N37" s="60"/>
      <c r="O37" s="112"/>
      <c r="P37" s="58"/>
      <c r="Q37" s="149"/>
      <c r="R37" s="4"/>
    </row>
    <row r="38" spans="1:18" ht="30" customHeight="1" thickTop="1" thickBot="1">
      <c r="A38" s="4"/>
      <c r="B38" s="20"/>
      <c r="C38" s="24"/>
      <c r="D38" s="25"/>
      <c r="E38" s="206"/>
      <c r="F38" s="206"/>
      <c r="G38" s="206"/>
      <c r="H38" s="206"/>
      <c r="I38" s="206"/>
      <c r="J38" s="206"/>
      <c r="K38" s="25"/>
      <c r="L38" s="38"/>
      <c r="N38" s="76"/>
      <c r="O38" s="117"/>
      <c r="P38" s="70"/>
      <c r="Q38" s="149"/>
      <c r="R38" s="4"/>
    </row>
    <row r="39" spans="1:18" ht="30" customHeight="1" thickTop="1">
      <c r="A39" s="4"/>
      <c r="B39" s="20"/>
      <c r="C39" s="20"/>
      <c r="D39" s="23"/>
      <c r="E39" s="194"/>
      <c r="F39" s="194"/>
      <c r="G39" s="194"/>
      <c r="H39" s="194"/>
      <c r="I39" s="194"/>
      <c r="J39" s="194"/>
      <c r="K39" s="23"/>
      <c r="L39" s="150"/>
      <c r="R39" s="4"/>
    </row>
    <row r="40" spans="1:18" ht="30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</sheetData>
  <mergeCells count="84">
    <mergeCell ref="H13:I13"/>
    <mergeCell ref="J13:K13"/>
    <mergeCell ref="D5:D6"/>
    <mergeCell ref="D13:D14"/>
    <mergeCell ref="O17:O18"/>
    <mergeCell ref="O19:O20"/>
    <mergeCell ref="E18:F18"/>
    <mergeCell ref="G18:H18"/>
    <mergeCell ref="I18:J18"/>
    <mergeCell ref="E19:F19"/>
    <mergeCell ref="G19:H19"/>
    <mergeCell ref="I19:J19"/>
    <mergeCell ref="E20:F20"/>
    <mergeCell ref="G20:H20"/>
    <mergeCell ref="E39:F39"/>
    <mergeCell ref="G39:H39"/>
    <mergeCell ref="I39:J39"/>
    <mergeCell ref="E36:F36"/>
    <mergeCell ref="G36:H36"/>
    <mergeCell ref="I36:J36"/>
    <mergeCell ref="E37:F37"/>
    <mergeCell ref="G37:H37"/>
    <mergeCell ref="I37:J37"/>
    <mergeCell ref="E38:F38"/>
    <mergeCell ref="G38:H38"/>
    <mergeCell ref="I38:J38"/>
    <mergeCell ref="E34:F34"/>
    <mergeCell ref="G34:H34"/>
    <mergeCell ref="I34:J34"/>
    <mergeCell ref="E35:F35"/>
    <mergeCell ref="G35:H35"/>
    <mergeCell ref="I35:J35"/>
    <mergeCell ref="E32:F32"/>
    <mergeCell ref="G32:H32"/>
    <mergeCell ref="I32:J32"/>
    <mergeCell ref="E33:F33"/>
    <mergeCell ref="G33:H33"/>
    <mergeCell ref="I33:J33"/>
    <mergeCell ref="E30:F30"/>
    <mergeCell ref="G30:H30"/>
    <mergeCell ref="I30:J30"/>
    <mergeCell ref="E31:F31"/>
    <mergeCell ref="G31:H31"/>
    <mergeCell ref="I31:J31"/>
    <mergeCell ref="E28:F28"/>
    <mergeCell ref="G28:H28"/>
    <mergeCell ref="I28:J28"/>
    <mergeCell ref="E29:F29"/>
    <mergeCell ref="G29:H29"/>
    <mergeCell ref="I29:J29"/>
    <mergeCell ref="E26:F26"/>
    <mergeCell ref="G26:H26"/>
    <mergeCell ref="I26:J26"/>
    <mergeCell ref="E27:F27"/>
    <mergeCell ref="G27:H27"/>
    <mergeCell ref="I27:J27"/>
    <mergeCell ref="E24:F24"/>
    <mergeCell ref="G24:H24"/>
    <mergeCell ref="I24:J24"/>
    <mergeCell ref="E25:F25"/>
    <mergeCell ref="G25:H25"/>
    <mergeCell ref="I25:J25"/>
    <mergeCell ref="E22:F22"/>
    <mergeCell ref="G22:H22"/>
    <mergeCell ref="I22:J22"/>
    <mergeCell ref="E23:F23"/>
    <mergeCell ref="G23:H23"/>
    <mergeCell ref="I23:J23"/>
    <mergeCell ref="P7:P8"/>
    <mergeCell ref="O7:O8"/>
    <mergeCell ref="E21:F21"/>
    <mergeCell ref="G21:H21"/>
    <mergeCell ref="I21:J21"/>
    <mergeCell ref="P19:P20"/>
    <mergeCell ref="I20:J20"/>
    <mergeCell ref="G16:H16"/>
    <mergeCell ref="I16:J16"/>
    <mergeCell ref="E17:F17"/>
    <mergeCell ref="G17:H17"/>
    <mergeCell ref="I17:J17"/>
    <mergeCell ref="E16:F16"/>
    <mergeCell ref="P17:P18"/>
    <mergeCell ref="H12:I12"/>
    <mergeCell ref="J12:K12"/>
  </mergeCells>
  <conditionalFormatting sqref="D16:K39">
    <cfRule type="expression" dxfId="248" priority="25">
      <formula>D16&lt;&gt;""</formula>
    </cfRule>
  </conditionalFormatting>
  <conditionalFormatting sqref="E5:J5">
    <cfRule type="expression" dxfId="247" priority="39" stopIfTrue="1">
      <formula>DAY(E5)&gt;8</formula>
    </cfRule>
  </conditionalFormatting>
  <conditionalFormatting sqref="E5:K11 E14:K14">
    <cfRule type="expression" dxfId="246" priority="40">
      <formula>VLOOKUP(DAY(E5),$O:$O,1,FALSE)=DAY(E5)</formula>
    </cfRule>
  </conditionalFormatting>
  <conditionalFormatting sqref="E9:K11 E14:K14">
    <cfRule type="expression" dxfId="245" priority="38" stopIfTrue="1">
      <formula>AND(DAY(E9)&gt;=1,DAY(E9)&lt;=15)</formula>
    </cfRule>
  </conditionalFormatting>
  <conditionalFormatting sqref="M6:M14">
    <cfRule type="expression" dxfId="244" priority="46">
      <formula>VLOOKUP(DAY(M6),AssignmentDays,1,FALSE)=DAY(M6)</formula>
    </cfRule>
  </conditionalFormatting>
  <conditionalFormatting sqref="M10:M14">
    <cfRule type="expression" dxfId="243" priority="45" stopIfTrue="1">
      <formula>AND(DAY(M10)&gt;=1,DAY(M10)&lt;=15)</formula>
    </cfRule>
  </conditionalFormatting>
  <dataValidations count="7">
    <dataValidation allowBlank="1" showInputMessage="1" showErrorMessage="1" prompt="May calendar. Calendar year is automatically updated based on cell D5 in Jan sheet." sqref="A1" xr:uid="{00000000-0002-0000-0600-000000000000}"/>
    <dataValidation allowBlank="1" showInputMessage="1" showErrorMessage="1" prompt="Calendar automatically highlights assignment list entries for the month. Darker fonts are assignments. Lighter fonts are days that belong to the previous or next month" sqref="D4" xr:uid="{00000000-0002-0000-0600-000001000000}"/>
    <dataValidation allowBlank="1" showInputMessage="1" showErrorMessage="1" prompt="Cells E4:K4 contain weekdays" sqref="E4" xr:uid="{00000000-0002-0000-0600-000002000000}"/>
    <dataValidation allowBlank="1" showInputMessage="1" showErrorMessage="1" prompt="Enter the assignment details in this column that correspond to the weekday in column N and day in column O for the calendar month at left" sqref="N4:O4" xr:uid="{BEAE3442-0C6E-4A66-BCFA-A3AA3474C7DF}"/>
    <dataValidation allowBlank="1" showInputMessage="1" showErrorMessage="1" prompt="If this cell doesn’t contain the number 1, then it is a day from a previous month. Cells E5:K10 contain dates for the current month" sqref="E5" xr:uid="{00000000-0002-0000-0600-000004000000}"/>
    <dataValidation allowBlank="1" showInputMessage="1" showErrorMessage="1" prompt="If this row contains a number less than the previous number or row of numbers, then this row contains dates for the next calendar month" sqref="E10:E11 E14" xr:uid="{00000000-0002-0000-0600-000005000000}"/>
    <dataValidation allowBlank="1" showInputMessage="1" showErrorMessage="1" prompt="Calendar year is automatically updated in this cell. To change the calendar year, to go cell D5 in Jan worksheet." sqref="D5:D6" xr:uid="{00000000-0002-0000-0600-000008000000}"/>
  </dataValidations>
  <printOptions horizontalCentered="1" verticalCentered="1"/>
  <pageMargins left="0.25" right="0.25" top="0.5" bottom="0.5" header="0.3" footer="0.3"/>
  <pageSetup scale="47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39393B16-4679-4CF0-94A0-D87B7A6DBF42}">
            <xm:f>List!$A$8=O2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0" id="{BCF3F0C5-D29D-4191-8938-D8946EEB5B51}">
            <xm:f>List!$A$9=O2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1" id="{EB7560E1-C665-4F9D-A4B9-5F43309D0DAB}">
            <xm:f>List!$A$7=O2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12" id="{89A8DDA8-5E82-4132-9BE5-DA0EF662C11D}">
            <xm:f>List!$A$6=O2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3" id="{78C7961F-5845-4543-BCA5-33D13B9BE71E}">
            <xm:f>List!$A$5=O2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14" id="{B487F4ED-6CDC-4AF1-8B94-E01FB1176956}">
            <xm:f>List!$A$4=O2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15" id="{1A666164-E40C-4420-B798-F64C28BD04CD}">
            <xm:f>List!$A$3=O2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6" id="{52BA7A8D-9792-4799-8DF0-393221A31CC7}">
            <xm:f>List!$A$2=O2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O2:O7 O15:O17</xm:sqref>
        </x14:conditionalFormatting>
        <x14:conditionalFormatting xmlns:xm="http://schemas.microsoft.com/office/excel/2006/main">
          <x14:cfRule type="expression" priority="1" id="{805353E5-493B-4330-A6A9-70AB36FAC658}">
            <xm:f>List!$A$8=O9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" id="{F6ACD927-82B4-459D-9865-9C62E4A7DCE8}">
            <xm:f>List!$A$9=O9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3" id="{DD729682-CE36-4844-AE82-EFA5CAE166AD}">
            <xm:f>List!$A$7=O9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4" id="{B550CB12-62B4-405D-8DB5-6259B052FC62}">
            <xm:f>List!$A$6=O9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5" id="{E9B50356-B555-4277-B456-53018504C526}">
            <xm:f>List!$A$5=O9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6" id="{F032C450-8EB0-4E5F-A9F7-2FE18D8351F3}">
            <xm:f>List!$A$4=O9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7" id="{75FEAAEF-71AE-4D23-BF67-B25B80DE31C0}">
            <xm:f>List!$A$3=O9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8" id="{AE679718-5F51-4899-91D7-BCC49C77C096}">
            <xm:f>List!$A$2=O9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O9:O14</xm:sqref>
        </x14:conditionalFormatting>
        <x14:conditionalFormatting xmlns:xm="http://schemas.microsoft.com/office/excel/2006/main">
          <x14:cfRule type="expression" priority="26" id="{58453C47-966B-4E59-89FB-556742B1D8E1}">
            <xm:f>List!$A$8=O19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7" id="{B5145862-D20C-4208-AF5A-8C2D07C5CE65}">
            <xm:f>List!$A$9=O19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28" id="{D3242506-C975-4C21-B8F3-BBA04E8ACAAF}">
            <xm:f>List!$A$7=O19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29" id="{5FA1FBEA-07EC-4CF1-869F-D2A0DCEAE466}">
            <xm:f>List!$A$6=O19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30" id="{1963558E-CF42-4D3C-810D-2F647083C54E}">
            <xm:f>List!$A$5=O19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31" id="{6ABEAD08-2934-4787-A7F1-32F03D837A74}">
            <xm:f>List!$A$4=O19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32" id="{7DFD9B7F-9AA9-4E66-93DA-541A24759AEE}">
            <xm:f>List!$A$3=O19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33" id="{D095AFAE-7075-4EE7-9BD9-CA1C3F18740D}">
            <xm:f>List!$A$2=O19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O19 O21:O22 O24:O28 O30 O32 O34:O39 O41:O1048576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7A2AD9-E0D5-468D-B238-FCA13D25D6E0}">
          <x14:formula1>
            <xm:f>List!$A$2:$A$11</xm:f>
          </x14:formula1>
          <xm:sqref>O32:O34 O26:O28 O30 O15:O17 O19 O21:O24 O7 O9:O14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4506668294322"/>
    <pageSetUpPr fitToPage="1"/>
  </sheetPr>
  <dimension ref="A1:R42"/>
  <sheetViews>
    <sheetView showGridLines="0" zoomScale="70" zoomScaleNormal="70" zoomScalePageLayoutView="84" workbookViewId="0">
      <selection activeCell="J18" sqref="J18"/>
    </sheetView>
  </sheetViews>
  <sheetFormatPr defaultColWidth="8.625" defaultRowHeight="30" customHeight="1"/>
  <cols>
    <col min="1" max="2" width="5.625" customWidth="1"/>
    <col min="3" max="3" width="2.625" customWidth="1"/>
    <col min="4" max="4" width="24.625" customWidth="1"/>
    <col min="5" max="10" width="12.625" customWidth="1"/>
    <col min="11" max="11" width="24.625" customWidth="1"/>
    <col min="12" max="12" width="2.625" customWidth="1"/>
    <col min="13" max="13" width="5.625" style="1" customWidth="1"/>
    <col min="14" max="14" width="75.5" style="2" customWidth="1"/>
    <col min="15" max="15" width="28.625" style="2" customWidth="1"/>
    <col min="16" max="16" width="78.875" style="3" customWidth="1"/>
    <col min="17" max="17" width="5.75" style="3" customWidth="1"/>
    <col min="18" max="18" width="5.625" customWidth="1"/>
  </cols>
  <sheetData>
    <row r="1" spans="1:18" ht="30" customHeight="1">
      <c r="A1" s="90"/>
      <c r="B1" s="90"/>
      <c r="C1" s="90"/>
      <c r="D1" s="91"/>
      <c r="E1" s="90"/>
      <c r="F1" s="90"/>
      <c r="G1" s="90"/>
      <c r="H1" s="90"/>
      <c r="I1" s="90"/>
      <c r="J1" s="90"/>
      <c r="K1" s="90"/>
      <c r="L1" s="90"/>
      <c r="M1" s="94"/>
      <c r="N1" s="94"/>
      <c r="O1" s="94"/>
      <c r="P1" s="94"/>
      <c r="Q1" s="94"/>
      <c r="R1" s="94"/>
    </row>
    <row r="2" spans="1:18" ht="30" customHeight="1" thickBot="1">
      <c r="A2" s="90"/>
      <c r="D2" s="6"/>
      <c r="E2" s="6"/>
      <c r="F2" s="6"/>
      <c r="G2" s="6"/>
      <c r="H2" s="6"/>
      <c r="I2" s="6"/>
      <c r="J2" s="6"/>
      <c r="K2" s="6"/>
      <c r="M2" s="95"/>
      <c r="N2" s="103"/>
      <c r="O2" s="106"/>
      <c r="P2" s="40"/>
      <c r="Q2" s="40"/>
      <c r="R2" s="90"/>
    </row>
    <row r="3" spans="1:18" ht="30" customHeight="1" thickTop="1" thickBot="1">
      <c r="A3" s="90"/>
      <c r="C3" s="7"/>
      <c r="D3" s="8"/>
      <c r="K3" s="8"/>
      <c r="L3" s="28"/>
      <c r="N3" s="41"/>
      <c r="O3" s="107"/>
      <c r="P3" s="42"/>
      <c r="Q3" s="140"/>
      <c r="R3" s="90"/>
    </row>
    <row r="4" spans="1:18" ht="35.1" customHeight="1" thickTop="1">
      <c r="A4" s="90"/>
      <c r="C4" s="9"/>
      <c r="D4" s="10" t="s">
        <v>19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26" t="s">
        <v>12</v>
      </c>
      <c r="L4" s="29"/>
      <c r="N4" s="43" t="s">
        <v>13</v>
      </c>
      <c r="O4" s="108"/>
      <c r="P4" s="44"/>
      <c r="Q4" s="141"/>
      <c r="R4" s="90"/>
    </row>
    <row r="5" spans="1:18" ht="30" customHeight="1">
      <c r="A5" s="92"/>
      <c r="B5" s="12"/>
      <c r="C5" s="13"/>
      <c r="D5" s="195">
        <f ca="1">CalendarYear</f>
        <v>2026</v>
      </c>
      <c r="E5" s="27">
        <f ca="1">IF(DAY(JunSun1)=1,JunSun1-6,JunSun1+1)</f>
        <v>46174</v>
      </c>
      <c r="F5" s="27">
        <f ca="1">IF(DAY(JunSun1)=1,JunSun1-5,JunSun1+2)</f>
        <v>46175</v>
      </c>
      <c r="G5" s="27">
        <f ca="1">IF(DAY(JunSun1)=1,JunSun1-4,JunSun1+3)</f>
        <v>46176</v>
      </c>
      <c r="H5" s="27">
        <f ca="1">IF(DAY(JunSun1)=1,JunSun1-3,JunSun1+4)</f>
        <v>46177</v>
      </c>
      <c r="I5" s="27">
        <f ca="1">IF(DAY(JunSun1)=1,JunSun1-2,JunSun1+5)</f>
        <v>46178</v>
      </c>
      <c r="J5" s="27">
        <f ca="1">IF(DAY(JunSun1)=1,JunSun1-1,JunSun1+6)</f>
        <v>46179</v>
      </c>
      <c r="K5" s="27">
        <f ca="1">IF(DAY(JunSun1)=1,JunSun1,JunSun1+7)</f>
        <v>46180</v>
      </c>
      <c r="L5" s="30"/>
      <c r="M5" s="45"/>
      <c r="N5" s="46"/>
      <c r="O5" s="109"/>
      <c r="P5" s="47"/>
      <c r="Q5" s="140"/>
      <c r="R5" s="90"/>
    </row>
    <row r="6" spans="1:18" ht="30" customHeight="1">
      <c r="A6" s="92"/>
      <c r="B6" s="12"/>
      <c r="C6" s="13"/>
      <c r="D6" s="195"/>
      <c r="E6" s="27">
        <f ca="1">IF(DAY(JunSun1)=1,JunSun1+1,JunSun1+8)</f>
        <v>46181</v>
      </c>
      <c r="F6" s="27">
        <f ca="1">IF(DAY(JunSun1)=1,JunSun1+2,JunSun1+9)</f>
        <v>46182</v>
      </c>
      <c r="G6" s="27">
        <f ca="1">IF(DAY(JunSun1)=1,JunSun1+3,JunSun1+10)</f>
        <v>46183</v>
      </c>
      <c r="H6" s="27">
        <f ca="1">IF(DAY(JunSun1)=1,JunSun1+4,JunSun1+11)</f>
        <v>46184</v>
      </c>
      <c r="I6" s="27">
        <f ca="1">IF(DAY(JunSun1)=1,JunSun1+5,JunSun1+12)</f>
        <v>46185</v>
      </c>
      <c r="J6" s="27">
        <f ca="1">IF(DAY(JunSun1)=1,JunSun1+6,JunSun1+13)</f>
        <v>46186</v>
      </c>
      <c r="K6" s="27">
        <f ca="1">IF(DAY(JunSun1)=1,JunSun1+7,JunSun1+14)</f>
        <v>46187</v>
      </c>
      <c r="L6" s="30"/>
      <c r="M6" s="48"/>
      <c r="N6" s="179" t="s">
        <v>50</v>
      </c>
      <c r="O6" s="110" t="s">
        <v>25</v>
      </c>
      <c r="P6" s="111" t="s">
        <v>14</v>
      </c>
      <c r="Q6" s="142"/>
      <c r="R6" s="90"/>
    </row>
    <row r="7" spans="1:18" ht="30" customHeight="1">
      <c r="A7" s="92"/>
      <c r="B7" s="12"/>
      <c r="C7" s="13"/>
      <c r="D7" s="14"/>
      <c r="E7" s="27">
        <f ca="1">IF(DAY(JunSun1)=1,JunSun1+8,JunSun1+15)</f>
        <v>46188</v>
      </c>
      <c r="F7" s="27">
        <f ca="1">IF(DAY(JunSun1)=1,JunSun1+9,JunSun1+16)</f>
        <v>46189</v>
      </c>
      <c r="G7" s="27">
        <f ca="1">IF(DAY(JunSun1)=1,JunSun1+10,JunSun1+17)</f>
        <v>46190</v>
      </c>
      <c r="H7" s="27">
        <f ca="1">IF(DAY(JunSun1)=1,JunSun1+11,JunSun1+18)</f>
        <v>46191</v>
      </c>
      <c r="I7" s="27">
        <f ca="1">IF(DAY(JunSun1)=1,JunSun1+12,JunSun1+19)</f>
        <v>46192</v>
      </c>
      <c r="J7" s="27">
        <f ca="1">IF(DAY(JunSun1)=1,JunSun1+13,JunSun1+20)</f>
        <v>46193</v>
      </c>
      <c r="K7" s="27">
        <f ca="1">IF(DAY(JunSun1)=1,JunSun1+14,JunSun1+21)</f>
        <v>46194</v>
      </c>
      <c r="L7" s="30"/>
      <c r="M7" s="48"/>
      <c r="N7" s="89" t="s">
        <v>51</v>
      </c>
      <c r="O7" s="190" t="s">
        <v>31</v>
      </c>
      <c r="P7" s="192" t="s">
        <v>63</v>
      </c>
      <c r="Q7" s="143"/>
      <c r="R7" s="90"/>
    </row>
    <row r="8" spans="1:18" ht="30" customHeight="1">
      <c r="A8" s="92"/>
      <c r="B8" s="12"/>
      <c r="C8" s="13"/>
      <c r="D8" s="14"/>
      <c r="E8" s="27">
        <f ca="1">IF(DAY(JunSun1)=1,JunSun1+15,JunSun1+22)</f>
        <v>46195</v>
      </c>
      <c r="F8" s="27">
        <f ca="1">IF(DAY(JunSun1)=1,JunSun1+16,JunSun1+23)</f>
        <v>46196</v>
      </c>
      <c r="G8" s="188">
        <f ca="1">IF(DAY(JunSun1)=1,JunSun1+17,JunSun1+24)</f>
        <v>46197</v>
      </c>
      <c r="H8" s="27">
        <f ca="1">IF(DAY(JunSun1)=1,JunSun1+18,JunSun1+25)</f>
        <v>46198</v>
      </c>
      <c r="I8" s="27">
        <f ca="1">IF(DAY(JunSun1)=1,JunSun1+19,JunSun1+26)</f>
        <v>46199</v>
      </c>
      <c r="J8" s="27">
        <f ca="1">IF(DAY(JunSun1)=1,JunSun1+20,JunSun1+27)</f>
        <v>46200</v>
      </c>
      <c r="K8" s="27">
        <f ca="1">IF(DAY(JunSun1)=1,JunSun1+21,JunSun1+28)</f>
        <v>46201</v>
      </c>
      <c r="L8" s="30"/>
      <c r="M8" s="48"/>
      <c r="N8" s="176" t="s">
        <v>28</v>
      </c>
      <c r="O8" s="191" t="s">
        <v>26</v>
      </c>
      <c r="P8" s="177" t="s">
        <v>62</v>
      </c>
      <c r="Q8" s="144"/>
      <c r="R8" s="90"/>
    </row>
    <row r="9" spans="1:18" ht="30" customHeight="1">
      <c r="A9" s="92"/>
      <c r="B9" s="12"/>
      <c r="C9" s="13"/>
      <c r="D9" s="14"/>
      <c r="E9" s="27">
        <f ca="1">IF(DAY(JunSun1)=1,JunSun1+22,JunSun1+29)</f>
        <v>46202</v>
      </c>
      <c r="F9" s="27">
        <f ca="1">IF(DAY(JunSun1)=1,JunSun1+23,JunSun1+30)</f>
        <v>46203</v>
      </c>
      <c r="G9" s="27">
        <f ca="1">IF(DAY(JunSun1)=1,JunSun1+24,JunSun1+31)</f>
        <v>46204</v>
      </c>
      <c r="H9" s="27">
        <f ca="1">IF(DAY(JunSun1)=1,JunSun1+25,JunSun1+32)</f>
        <v>46205</v>
      </c>
      <c r="I9" s="27">
        <f ca="1">IF(DAY(JunSun1)=1,JunSun1+26,JunSun1+33)</f>
        <v>46206</v>
      </c>
      <c r="J9" s="27">
        <f ca="1">IF(DAY(JunSun1)=1,JunSun1+27,JunSun1+34)</f>
        <v>46207</v>
      </c>
      <c r="K9" s="27">
        <f ca="1">IF(DAY(JunSun1)=1,JunSun1+28,JunSun1+35)</f>
        <v>46208</v>
      </c>
      <c r="L9" s="30"/>
      <c r="M9" s="52"/>
      <c r="N9" s="50"/>
      <c r="O9" s="113"/>
      <c r="P9" s="111"/>
      <c r="Q9" s="145"/>
      <c r="R9" s="90"/>
    </row>
    <row r="10" spans="1:18" ht="27.95" customHeight="1">
      <c r="A10" s="92"/>
      <c r="B10" s="12"/>
      <c r="C10" s="13"/>
      <c r="D10" s="14"/>
      <c r="E10" s="27">
        <f ca="1">IF(DAY(JunSun1)=1,JunSun1+29,JunSun1+36)</f>
        <v>46209</v>
      </c>
      <c r="F10" s="27">
        <f ca="1">IF(DAY(JunSun1)=1,JunSun1+30,JunSun1+37)</f>
        <v>46210</v>
      </c>
      <c r="G10" s="27">
        <f ca="1">IF(DAY(JunSun1)=1,JunSun1+31,JunSun1+38)</f>
        <v>46211</v>
      </c>
      <c r="H10" s="27">
        <f ca="1">IF(DAY(JunSun1)=1,JunSun1+32,JunSun1+39)</f>
        <v>46212</v>
      </c>
      <c r="I10" s="27">
        <f ca="1">IF(DAY(JunSun1)=1,JunSun1+33,JunSun1+40)</f>
        <v>46213</v>
      </c>
      <c r="J10" s="27">
        <f ca="1">IF(DAY(JunSun1)=1,JunSun1+34,JunSun1+41)</f>
        <v>46214</v>
      </c>
      <c r="K10" s="27">
        <f ca="1">IF(DAY(JunSun1)=1,JunSun1+35,JunSun1+42)</f>
        <v>46215</v>
      </c>
      <c r="L10" s="31"/>
      <c r="M10" s="48"/>
      <c r="N10" s="51"/>
      <c r="O10" s="113"/>
      <c r="P10" s="189" t="s">
        <v>59</v>
      </c>
      <c r="Q10" s="146"/>
      <c r="R10" s="90"/>
    </row>
    <row r="11" spans="1:18" ht="30" customHeight="1" thickBot="1">
      <c r="A11" s="92"/>
      <c r="B11" s="12"/>
      <c r="C11" s="15"/>
      <c r="D11" s="6"/>
      <c r="K11" s="6"/>
      <c r="L11" s="32"/>
      <c r="M11" s="53"/>
      <c r="N11" s="51"/>
      <c r="O11" s="113"/>
      <c r="P11" s="111"/>
      <c r="Q11" s="146"/>
      <c r="R11" s="90"/>
    </row>
    <row r="12" spans="1:18" ht="30" customHeight="1" thickTop="1">
      <c r="A12" s="92"/>
      <c r="B12" s="12"/>
      <c r="C12" s="12"/>
      <c r="D12" s="16"/>
      <c r="E12" s="8"/>
      <c r="F12" s="8"/>
      <c r="G12" s="8"/>
      <c r="H12" s="8"/>
      <c r="I12" s="8"/>
      <c r="J12" s="8"/>
      <c r="K12" s="8"/>
      <c r="N12" s="54"/>
      <c r="O12" s="113"/>
      <c r="P12" s="118"/>
      <c r="Q12" s="147"/>
      <c r="R12" s="90"/>
    </row>
    <row r="13" spans="1:18" ht="30" customHeight="1">
      <c r="A13" s="92"/>
      <c r="B13" s="12"/>
      <c r="C13" s="12"/>
      <c r="H13" s="196"/>
      <c r="I13" s="196"/>
      <c r="J13" s="196"/>
      <c r="K13" s="196"/>
      <c r="L13" s="33"/>
      <c r="N13" s="54"/>
      <c r="O13" s="116"/>
      <c r="P13" s="189" t="s">
        <v>60</v>
      </c>
      <c r="Q13" s="148"/>
      <c r="R13" s="90"/>
    </row>
    <row r="14" spans="1:18" ht="53.25" customHeight="1">
      <c r="A14" s="92"/>
      <c r="B14" s="12"/>
      <c r="C14" s="12"/>
      <c r="D14" s="120"/>
      <c r="F14" s="119"/>
      <c r="G14" s="17"/>
      <c r="H14" s="196"/>
      <c r="I14" s="196"/>
      <c r="J14" s="196"/>
      <c r="K14" s="196"/>
      <c r="L14" s="33"/>
      <c r="M14" s="55"/>
      <c r="N14" s="50"/>
      <c r="O14" s="116"/>
      <c r="P14" s="111"/>
      <c r="Q14" s="148"/>
      <c r="R14" s="90"/>
    </row>
    <row r="15" spans="1:18" ht="30" customHeight="1">
      <c r="A15" s="92"/>
      <c r="B15" s="12"/>
      <c r="C15" s="12"/>
      <c r="M15" s="55"/>
      <c r="N15" s="51"/>
      <c r="O15" s="116"/>
      <c r="P15" s="118" t="s">
        <v>56</v>
      </c>
      <c r="Q15" s="147"/>
      <c r="R15" s="90"/>
    </row>
    <row r="16" spans="1:18" ht="30" customHeight="1">
      <c r="A16" s="93"/>
      <c r="B16" s="20"/>
      <c r="F16" s="120"/>
      <c r="H16" s="120"/>
      <c r="J16" s="120"/>
      <c r="L16" s="120"/>
      <c r="M16" s="57"/>
      <c r="N16" s="54"/>
      <c r="O16" s="113"/>
      <c r="P16" s="104"/>
      <c r="Q16" s="144"/>
      <c r="R16" s="90"/>
    </row>
    <row r="17" spans="1:18" ht="30" customHeight="1">
      <c r="A17" s="93"/>
      <c r="B17" s="20"/>
      <c r="C17" s="120"/>
      <c r="N17" s="54"/>
      <c r="O17" s="113"/>
      <c r="P17" s="104"/>
      <c r="Q17" s="144"/>
      <c r="R17" s="90"/>
    </row>
    <row r="18" spans="1:18" ht="44.1" customHeight="1">
      <c r="A18" s="93"/>
      <c r="B18" s="20"/>
      <c r="F18" s="120"/>
      <c r="H18" s="120"/>
      <c r="J18" s="120"/>
      <c r="L18" s="120"/>
      <c r="M18" s="59"/>
      <c r="N18" s="54"/>
      <c r="O18" s="110"/>
      <c r="P18" s="111"/>
      <c r="Q18" s="142"/>
      <c r="R18" s="90"/>
    </row>
    <row r="19" spans="1:18" ht="39.950000000000003" customHeight="1">
      <c r="A19" s="93"/>
      <c r="B19" s="20"/>
      <c r="C19" s="120"/>
      <c r="N19" s="54"/>
      <c r="O19" s="113"/>
      <c r="P19" s="104"/>
      <c r="Q19" s="143"/>
      <c r="R19" s="90"/>
    </row>
    <row r="20" spans="1:18" ht="30" customHeight="1">
      <c r="A20" s="93"/>
      <c r="B20" s="20"/>
      <c r="F20" s="120"/>
      <c r="H20" s="120"/>
      <c r="J20" s="120"/>
      <c r="L20" s="120"/>
      <c r="N20" s="114"/>
      <c r="O20" s="214"/>
      <c r="P20" s="215"/>
      <c r="Q20" s="144"/>
      <c r="R20" s="90"/>
    </row>
    <row r="21" spans="1:18" ht="41.1" customHeight="1">
      <c r="A21" s="93"/>
      <c r="B21" s="20"/>
      <c r="C21" s="120"/>
      <c r="M21"/>
      <c r="N21" s="50"/>
      <c r="O21" s="209"/>
      <c r="P21" s="210"/>
      <c r="Q21" s="145"/>
      <c r="R21" s="90"/>
    </row>
    <row r="22" spans="1:18" ht="48" customHeight="1">
      <c r="A22" s="93"/>
      <c r="B22" s="20"/>
      <c r="C22" s="120"/>
      <c r="E22" s="194"/>
      <c r="F22" s="194"/>
      <c r="G22" s="194"/>
      <c r="H22" s="194"/>
      <c r="I22" s="194"/>
      <c r="J22" s="194"/>
      <c r="L22" s="120"/>
      <c r="M22"/>
      <c r="N22" s="51"/>
      <c r="O22" s="214"/>
      <c r="P22" s="216"/>
      <c r="Q22" s="146"/>
      <c r="R22" s="90"/>
    </row>
    <row r="23" spans="1:18" ht="30" customHeight="1">
      <c r="A23" s="93"/>
      <c r="B23" s="20"/>
      <c r="E23" s="193"/>
      <c r="F23" s="193"/>
      <c r="G23" s="193"/>
      <c r="H23" s="193"/>
      <c r="I23" s="193"/>
      <c r="J23" s="193"/>
      <c r="M23"/>
      <c r="N23" s="54"/>
      <c r="O23" s="214"/>
      <c r="P23" s="216"/>
      <c r="Q23" s="146"/>
      <c r="R23" s="90"/>
    </row>
    <row r="24" spans="1:18" ht="44.1" customHeight="1">
      <c r="A24" s="93"/>
      <c r="B24" s="20"/>
      <c r="C24" s="120"/>
      <c r="E24" s="194"/>
      <c r="F24" s="194"/>
      <c r="G24" s="194"/>
      <c r="H24" s="194"/>
      <c r="I24" s="194"/>
      <c r="J24" s="194"/>
      <c r="L24" s="120"/>
      <c r="M24"/>
      <c r="N24" s="51"/>
      <c r="O24" s="113"/>
      <c r="P24" s="118"/>
      <c r="Q24" s="147"/>
      <c r="R24" s="90"/>
    </row>
    <row r="25" spans="1:18" ht="30.95" customHeight="1">
      <c r="A25" s="93"/>
      <c r="B25" s="20"/>
      <c r="E25" s="193"/>
      <c r="F25" s="193"/>
      <c r="G25" s="193"/>
      <c r="H25" s="193"/>
      <c r="I25" s="193"/>
      <c r="J25" s="193"/>
      <c r="K25" s="120"/>
      <c r="M25" s="120"/>
      <c r="N25" s="54"/>
      <c r="O25" s="207"/>
      <c r="P25" s="208"/>
      <c r="Q25" s="148"/>
      <c r="R25" s="90"/>
    </row>
    <row r="26" spans="1:18" ht="30" customHeight="1">
      <c r="A26" s="93"/>
      <c r="B26" s="20"/>
      <c r="E26" s="194"/>
      <c r="F26" s="194"/>
      <c r="G26" s="194"/>
      <c r="H26" s="194"/>
      <c r="I26" s="194"/>
      <c r="J26" s="194"/>
      <c r="M26"/>
      <c r="N26" s="51"/>
      <c r="O26" s="207"/>
      <c r="P26" s="208"/>
      <c r="Q26" s="148"/>
      <c r="R26" s="90"/>
    </row>
    <row r="27" spans="1:18" ht="30" customHeight="1">
      <c r="A27" s="93"/>
      <c r="B27" s="20"/>
      <c r="D27" s="185"/>
      <c r="E27" s="193"/>
      <c r="F27" s="193"/>
      <c r="G27" s="193"/>
      <c r="H27" s="193"/>
      <c r="I27" s="193"/>
      <c r="J27" s="193"/>
      <c r="K27" s="120"/>
      <c r="M27" s="120"/>
      <c r="N27" s="54"/>
      <c r="O27" s="113"/>
      <c r="P27" s="104"/>
      <c r="Q27" s="143"/>
      <c r="R27" s="90"/>
    </row>
    <row r="28" spans="1:18" ht="36.950000000000003" customHeight="1">
      <c r="A28" s="93"/>
      <c r="B28" s="20"/>
      <c r="E28" s="194"/>
      <c r="F28" s="194"/>
      <c r="G28" s="194"/>
      <c r="H28" s="194"/>
      <c r="I28" s="194"/>
      <c r="J28" s="194"/>
      <c r="M28"/>
      <c r="N28" s="51"/>
      <c r="O28" s="110"/>
      <c r="P28" s="111"/>
      <c r="Q28" s="142"/>
      <c r="R28" s="90"/>
    </row>
    <row r="29" spans="1:18" ht="47.1" customHeight="1">
      <c r="A29" s="93"/>
      <c r="B29" s="20"/>
      <c r="E29" s="193"/>
      <c r="F29" s="193"/>
      <c r="G29" s="193"/>
      <c r="H29" s="193"/>
      <c r="I29" s="193"/>
      <c r="J29" s="193"/>
      <c r="K29" s="194"/>
      <c r="L29" s="194"/>
      <c r="N29" s="51"/>
      <c r="O29" s="113"/>
      <c r="P29" s="104"/>
      <c r="Q29" s="143"/>
      <c r="R29" s="90"/>
    </row>
    <row r="30" spans="1:18" ht="27.95" customHeight="1">
      <c r="A30" s="93"/>
      <c r="B30" s="20"/>
      <c r="D30" s="185"/>
      <c r="E30" s="194"/>
      <c r="F30" s="194"/>
      <c r="G30" s="194"/>
      <c r="H30" s="194"/>
      <c r="I30" s="194"/>
      <c r="J30" s="194"/>
      <c r="K30" s="193"/>
      <c r="L30" s="193"/>
      <c r="N30" s="114"/>
      <c r="O30" s="113"/>
      <c r="P30" s="104"/>
      <c r="Q30" s="143"/>
      <c r="R30" s="90"/>
    </row>
    <row r="31" spans="1:18" ht="18">
      <c r="A31" s="93"/>
      <c r="B31" s="20"/>
      <c r="E31" s="193"/>
      <c r="F31" s="193"/>
      <c r="G31" s="193"/>
      <c r="H31" s="193"/>
      <c r="I31" s="193"/>
      <c r="J31" s="193"/>
      <c r="K31" s="194"/>
      <c r="L31" s="194"/>
      <c r="N31" s="50"/>
      <c r="O31" s="160"/>
      <c r="P31" s="104"/>
      <c r="Q31" s="144"/>
      <c r="R31" s="90"/>
    </row>
    <row r="32" spans="1:18" ht="41.1" customHeight="1">
      <c r="A32" s="93"/>
      <c r="B32" s="20"/>
      <c r="E32" s="194"/>
      <c r="F32" s="194"/>
      <c r="G32" s="194"/>
      <c r="H32" s="194"/>
      <c r="I32" s="194"/>
      <c r="J32" s="194"/>
      <c r="K32" s="193"/>
      <c r="L32" s="193"/>
      <c r="N32" s="51"/>
      <c r="O32" s="160"/>
      <c r="P32" s="104"/>
      <c r="Q32" s="144"/>
      <c r="R32" s="90"/>
    </row>
    <row r="33" spans="1:18" ht="30" customHeight="1">
      <c r="A33" s="93"/>
      <c r="B33" s="20"/>
      <c r="D33" s="185"/>
      <c r="E33" s="193"/>
      <c r="F33" s="193"/>
      <c r="G33" s="193"/>
      <c r="H33" s="193"/>
      <c r="I33" s="193"/>
      <c r="J33" s="193"/>
      <c r="K33" s="194"/>
      <c r="L33" s="194"/>
      <c r="N33" s="51"/>
      <c r="O33" s="113"/>
      <c r="P33" s="118"/>
      <c r="Q33" s="148"/>
      <c r="R33" s="90"/>
    </row>
    <row r="34" spans="1:18" ht="30" customHeight="1">
      <c r="A34" s="93"/>
      <c r="B34" s="20"/>
      <c r="E34" s="194"/>
      <c r="F34" s="194"/>
      <c r="G34" s="194"/>
      <c r="H34" s="194"/>
      <c r="I34" s="194"/>
      <c r="J34" s="194"/>
      <c r="K34" s="193"/>
      <c r="L34" s="193"/>
      <c r="N34" s="54"/>
      <c r="O34" s="113"/>
      <c r="P34" s="118"/>
      <c r="Q34" s="148"/>
      <c r="R34" s="90"/>
    </row>
    <row r="35" spans="1:18" ht="30" customHeight="1">
      <c r="A35" s="93"/>
      <c r="B35" s="20"/>
      <c r="E35" s="193"/>
      <c r="F35" s="193"/>
      <c r="G35" s="193"/>
      <c r="H35" s="193"/>
      <c r="I35" s="193"/>
      <c r="J35" s="193"/>
      <c r="K35" s="194"/>
      <c r="L35" s="194"/>
      <c r="N35" s="54"/>
      <c r="O35" s="116"/>
      <c r="P35" s="118"/>
      <c r="Q35" s="148"/>
      <c r="R35" s="90"/>
    </row>
    <row r="36" spans="1:18" ht="30" customHeight="1">
      <c r="A36" s="93"/>
      <c r="B36" s="20"/>
      <c r="D36" s="185"/>
      <c r="E36" s="194"/>
      <c r="F36" s="194"/>
      <c r="G36" s="194"/>
      <c r="H36" s="194"/>
      <c r="I36" s="194"/>
      <c r="J36" s="194"/>
      <c r="K36" s="193"/>
      <c r="L36" s="193"/>
      <c r="N36" s="50"/>
      <c r="O36" s="116"/>
      <c r="P36" s="118"/>
      <c r="Q36" s="148"/>
      <c r="R36" s="90"/>
    </row>
    <row r="37" spans="1:18" ht="30" customHeight="1">
      <c r="A37" s="93"/>
      <c r="B37" s="20"/>
      <c r="E37" s="22"/>
      <c r="F37" s="22"/>
      <c r="G37" s="194"/>
      <c r="H37" s="194"/>
      <c r="I37" s="194"/>
      <c r="J37" s="194"/>
      <c r="K37" s="193"/>
      <c r="L37" s="193"/>
      <c r="N37" s="51"/>
      <c r="O37" s="116"/>
      <c r="P37" s="104"/>
      <c r="Q37" s="143"/>
      <c r="R37" s="90"/>
    </row>
    <row r="38" spans="1:18" ht="44.1" customHeight="1">
      <c r="A38" s="90"/>
      <c r="B38" s="20"/>
      <c r="E38" s="23"/>
      <c r="F38" s="185"/>
      <c r="G38" s="193"/>
      <c r="H38" s="193"/>
      <c r="I38" s="193"/>
      <c r="J38" s="193"/>
      <c r="K38" s="194"/>
      <c r="L38" s="194"/>
      <c r="N38" s="50"/>
      <c r="O38" s="112"/>
      <c r="P38" s="58"/>
      <c r="Q38" s="149"/>
      <c r="R38" s="90"/>
    </row>
    <row r="39" spans="1:18" ht="41.1" customHeight="1" thickBot="1">
      <c r="A39" s="90"/>
      <c r="B39" s="20"/>
      <c r="D39" s="185"/>
      <c r="E39" s="22"/>
      <c r="F39" s="22"/>
      <c r="G39" s="193"/>
      <c r="H39" s="193"/>
      <c r="I39" s="193"/>
      <c r="J39" s="193"/>
      <c r="K39" s="193"/>
      <c r="L39" s="193"/>
      <c r="N39" s="61"/>
      <c r="O39" s="112"/>
      <c r="P39" s="58"/>
      <c r="Q39" s="149"/>
      <c r="R39" s="90"/>
    </row>
    <row r="40" spans="1:18" ht="30" customHeight="1" thickTop="1" thickBot="1">
      <c r="A40" s="90"/>
      <c r="B40" s="20"/>
      <c r="E40" s="23"/>
      <c r="F40" s="185"/>
      <c r="G40" s="194"/>
      <c r="H40" s="194"/>
      <c r="I40" s="194"/>
      <c r="J40" s="194"/>
      <c r="K40" s="194"/>
      <c r="L40" s="194"/>
      <c r="N40" s="76"/>
      <c r="O40" s="117"/>
      <c r="P40" s="70"/>
      <c r="Q40" s="149"/>
      <c r="R40" s="90"/>
    </row>
    <row r="41" spans="1:18" ht="30" customHeight="1" thickTop="1">
      <c r="A41" s="90"/>
      <c r="B41" s="20"/>
      <c r="C41" s="20"/>
      <c r="D41" s="23"/>
      <c r="E41" s="194"/>
      <c r="F41" s="194"/>
      <c r="G41" s="193"/>
      <c r="H41" s="193"/>
      <c r="I41" s="193"/>
      <c r="J41" s="193"/>
      <c r="K41" s="23"/>
      <c r="L41" s="150"/>
      <c r="R41" s="90"/>
    </row>
    <row r="42" spans="1:18" ht="39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</row>
  </sheetData>
  <mergeCells count="79">
    <mergeCell ref="O25:O26"/>
    <mergeCell ref="P25:P26"/>
    <mergeCell ref="D5:D6"/>
    <mergeCell ref="H13:I13"/>
    <mergeCell ref="J13:K13"/>
    <mergeCell ref="H14:I14"/>
    <mergeCell ref="J14:K14"/>
    <mergeCell ref="E26:F26"/>
    <mergeCell ref="G26:H26"/>
    <mergeCell ref="I26:J26"/>
    <mergeCell ref="G37:H37"/>
    <mergeCell ref="I37:J37"/>
    <mergeCell ref="G38:H38"/>
    <mergeCell ref="I38:J38"/>
    <mergeCell ref="E41:F41"/>
    <mergeCell ref="G41:H41"/>
    <mergeCell ref="I41:J41"/>
    <mergeCell ref="G39:H39"/>
    <mergeCell ref="I39:J39"/>
    <mergeCell ref="G40:H40"/>
    <mergeCell ref="I40:J40"/>
    <mergeCell ref="E35:F35"/>
    <mergeCell ref="G35:H35"/>
    <mergeCell ref="I35:J35"/>
    <mergeCell ref="E36:F36"/>
    <mergeCell ref="G36:H36"/>
    <mergeCell ref="I36:J36"/>
    <mergeCell ref="E33:F33"/>
    <mergeCell ref="G33:H33"/>
    <mergeCell ref="I33:J33"/>
    <mergeCell ref="E34:F34"/>
    <mergeCell ref="G34:H34"/>
    <mergeCell ref="I34:J34"/>
    <mergeCell ref="E31:F31"/>
    <mergeCell ref="G31:H31"/>
    <mergeCell ref="I31:J31"/>
    <mergeCell ref="E32:F32"/>
    <mergeCell ref="G32:H32"/>
    <mergeCell ref="I32:J32"/>
    <mergeCell ref="E29:F29"/>
    <mergeCell ref="G29:H29"/>
    <mergeCell ref="I29:J29"/>
    <mergeCell ref="E30:F30"/>
    <mergeCell ref="G30:H30"/>
    <mergeCell ref="I30:J30"/>
    <mergeCell ref="E27:F27"/>
    <mergeCell ref="G27:H27"/>
    <mergeCell ref="I27:J27"/>
    <mergeCell ref="E28:F28"/>
    <mergeCell ref="G28:H28"/>
    <mergeCell ref="I28:J28"/>
    <mergeCell ref="E25:F25"/>
    <mergeCell ref="G25:H25"/>
    <mergeCell ref="I25:J25"/>
    <mergeCell ref="O20:O21"/>
    <mergeCell ref="P20:P21"/>
    <mergeCell ref="O22:O23"/>
    <mergeCell ref="E23:F23"/>
    <mergeCell ref="G23:H23"/>
    <mergeCell ref="I23:J23"/>
    <mergeCell ref="E24:F24"/>
    <mergeCell ref="G24:H24"/>
    <mergeCell ref="I24:J24"/>
    <mergeCell ref="E22:F22"/>
    <mergeCell ref="G22:H22"/>
    <mergeCell ref="I22:J22"/>
    <mergeCell ref="P22:P23"/>
    <mergeCell ref="K29:L29"/>
    <mergeCell ref="K30:L30"/>
    <mergeCell ref="K31:L31"/>
    <mergeCell ref="K32:L32"/>
    <mergeCell ref="K33:L33"/>
    <mergeCell ref="K39:L39"/>
    <mergeCell ref="K40:L40"/>
    <mergeCell ref="K34:L34"/>
    <mergeCell ref="K35:L35"/>
    <mergeCell ref="K36:L36"/>
    <mergeCell ref="K37:L37"/>
    <mergeCell ref="K38:L38"/>
  </mergeCells>
  <conditionalFormatting sqref="E5:J5">
    <cfRule type="expression" dxfId="218" priority="39" stopIfTrue="1">
      <formula>DAY(E5)&gt;8</formula>
    </cfRule>
  </conditionalFormatting>
  <conditionalFormatting sqref="E22:J40 D27 K29:L40 D30 D33 D36 D39 D41:K41">
    <cfRule type="expression" dxfId="217" priority="25">
      <formula>D22&lt;&gt;""</formula>
    </cfRule>
  </conditionalFormatting>
  <conditionalFormatting sqref="E5:K10">
    <cfRule type="expression" dxfId="216" priority="40">
      <formula>VLOOKUP(DAY(E5),$O:$O,1,FALSE)=DAY(E5)</formula>
    </cfRule>
  </conditionalFormatting>
  <conditionalFormatting sqref="E9:K10">
    <cfRule type="expression" dxfId="215" priority="38" stopIfTrue="1">
      <formula>AND(DAY(E9)&gt;=1,DAY(E9)&lt;=15)</formula>
    </cfRule>
  </conditionalFormatting>
  <conditionalFormatting sqref="M6:M11">
    <cfRule type="expression" dxfId="214" priority="46">
      <formula>VLOOKUP(DAY(M6),AssignmentDays,1,FALSE)=DAY(M6)</formula>
    </cfRule>
  </conditionalFormatting>
  <conditionalFormatting sqref="M10:M11">
    <cfRule type="expression" dxfId="213" priority="45" stopIfTrue="1">
      <formula>AND(DAY(M10)&gt;=1,DAY(M10)&lt;=15)</formula>
    </cfRule>
  </conditionalFormatting>
  <dataValidations count="9">
    <dataValidation allowBlank="1" showInputMessage="1" showErrorMessage="1" prompt="June calendar. Calendar year is automatically updated based on cell D5 in Jan sheet." sqref="A1" xr:uid="{00000000-0002-0000-0700-000000000000}"/>
    <dataValidation allowBlank="1" showInputMessage="1" showErrorMessage="1" prompt="Calendar automatically highlights assignment list entries for the month. Darker fonts are assignments. Lighter fonts are days that belong to the previous or next month" sqref="D4" xr:uid="{00000000-0002-0000-0700-000001000000}"/>
    <dataValidation allowBlank="1" showInputMessage="1" showErrorMessage="1" prompt="Cells E4:K4 contain weekdays" sqref="E4" xr:uid="{00000000-0002-0000-0700-000002000000}"/>
    <dataValidation allowBlank="1" showInputMessage="1" showErrorMessage="1" prompt="Enter the assignment details in this column that correspond to the weekday in column N and day in column O for the calendar month at left" sqref="N4:O4" xr:uid="{B1AED32F-EB83-45DD-8108-07E30F786100}"/>
    <dataValidation allowBlank="1" showInputMessage="1" showErrorMessage="1" prompt="If this cell doesn’t contain the number 1, then it is a day from a previous month. Cells E5:K10 contain dates for the current month" sqref="E5" xr:uid="{00000000-0002-0000-0700-000004000000}"/>
    <dataValidation allowBlank="1" showInputMessage="1" showErrorMessage="1" prompt="If this row contains a number less than the previous number or row of numbers, then this row contains dates for the next calendar month" sqref="E10" xr:uid="{00000000-0002-0000-0700-000005000000}"/>
    <dataValidation allowBlank="1" showInputMessage="1" showErrorMessage="1" prompt="Day of the week goes in this row, starting in cell D16" sqref="A16" xr:uid="{00000000-0002-0000-0700-000006000000}"/>
    <dataValidation allowBlank="1" showInputMessage="1" showErrorMessage="1" prompt="Weekdays are in this row, from Monday to Friday" sqref="D16" xr:uid="{BE2F545B-2070-403B-A822-C582407639D7}"/>
    <dataValidation allowBlank="1" showInputMessage="1" showErrorMessage="1" prompt="Calendar year is automatically updated in this cell. To change the calendar year, to go cell D5 in Jan worksheet." sqref="D5:D6" xr:uid="{00000000-0002-0000-0700-000008000000}"/>
  </dataValidations>
  <printOptions horizontalCentered="1" verticalCentered="1"/>
  <pageMargins left="0.25" right="0.25" top="0.5" bottom="0.5" header="0.3" footer="0.3"/>
  <pageSetup scale="47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BB2361FA-6812-4C37-9632-10F090E72E41}">
            <xm:f>List!$A$8=O2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0" id="{018FB805-C3DB-4C55-9B6C-35E746ACB3D3}">
            <xm:f>List!$A$9=O2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1" id="{A7608E21-4663-42C3-8683-6C414F0A5761}">
            <xm:f>List!$A$7=O2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12" id="{2F1D5157-7B42-4A1C-8026-2E04062E043B}">
            <xm:f>List!$A$6=O2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3" id="{98949B50-8CE1-4C9F-BC15-CBDB6A4A7778}">
            <xm:f>List!$A$5=O2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14" id="{6FB336B6-2C45-4E98-B5D6-217F1B755286}">
            <xm:f>List!$A$4=O2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15" id="{7344C7CD-A10E-4CF7-A959-F5173F5CDF33}">
            <xm:f>List!$A$3=O2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16" id="{F308FA4A-4FEB-400D-9BC8-415B776B2998}">
            <xm:f>List!$A$2=O2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O2:O8</xm:sqref>
        </x14:conditionalFormatting>
        <x14:conditionalFormatting xmlns:xm="http://schemas.microsoft.com/office/excel/2006/main">
          <x14:cfRule type="expression" priority="1" id="{2649050E-D24B-48DC-AA6B-DE28B8EF69D4}">
            <xm:f>List!$A$8=O10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" id="{A7675BE0-42E4-4574-9780-9B940A5AB490}">
            <xm:f>List!$A$9=O10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3" id="{474D103E-A6AA-47F0-A540-23DA3413271B}">
            <xm:f>List!$A$7=O10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4" id="{22D93E8C-288E-494C-ABF2-A9A9A5854726}">
            <xm:f>List!$A$6=O10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5" id="{A28681B7-0C6D-4CB2-9310-526037FB9457}">
            <xm:f>List!$A$5=O10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6" id="{306B808B-3BED-45A4-99C5-6194D9CB57DD}">
            <xm:f>List!$A$4=O10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7" id="{03FF78B9-2920-4A49-8F7A-1DFFDE74F466}">
            <xm:f>List!$A$3=O10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8" id="{9CDD345F-EE29-48E9-9815-6A88A360C8BF}">
            <xm:f>List!$A$2=O10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O10</xm:sqref>
        </x14:conditionalFormatting>
        <x14:conditionalFormatting xmlns:xm="http://schemas.microsoft.com/office/excel/2006/main">
          <x14:cfRule type="expression" priority="17" id="{575EB0B7-618C-4E61-998F-F1D3FCAA0B81}">
            <xm:f>List!$A$8=O12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18" id="{855A5D9C-9977-4EF7-ADD4-EFFD87807842}">
            <xm:f>List!$A$9=O12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19" id="{14262D34-91B9-4BD4-A69C-4353A4E433CA}">
            <xm:f>List!$A$7=O12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20" id="{76CB4AC1-4513-46C5-9143-ECDB20CC4891}">
            <xm:f>List!$A$6=O12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1" id="{6E6FDF9E-D88B-48DF-8E62-B98B5019CFE4}">
            <xm:f>List!$A$5=O12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22" id="{9E8B1FA3-5792-4993-8DD1-24BDE3F1A0B7}">
            <xm:f>List!$A$4=O12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23" id="{E73915DF-3038-4AE2-A9E4-5D2D31AD07A7}">
            <xm:f>List!$A$3=O12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24" id="{2504F2E6-4E66-44E5-AC02-59C743D49CCB}">
            <xm:f>List!$A$2=O12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O12:O13</xm:sqref>
        </x14:conditionalFormatting>
        <x14:conditionalFormatting xmlns:xm="http://schemas.microsoft.com/office/excel/2006/main">
          <x14:cfRule type="expression" priority="26" id="{313784DA-27A6-4589-B9D2-AB97ECC9262D}">
            <xm:f>List!$A$8=O15</xm:f>
            <x14:dxf>
              <font>
                <color theme="0"/>
              </font>
              <fill>
                <patternFill>
                  <bgColor theme="2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27" id="{0B1DE66C-46AE-4826-857E-6AC99BE52367}">
            <xm:f>List!$A$9=O15</xm:f>
            <x14:dxf>
              <font>
                <color theme="0"/>
              </font>
              <fill>
                <patternFill>
                  <bgColor theme="0" tint="-0.24994659260841701"/>
                </patternFill>
              </fill>
              <border>
                <vertical/>
                <horizontal/>
              </border>
            </x14:dxf>
          </x14:cfRule>
          <x14:cfRule type="expression" priority="28" id="{5437D11F-AE4E-4D2E-B9C7-BA8F699EC06B}">
            <xm:f>List!$A$7=O15</xm:f>
            <x14:dxf>
              <font>
                <color theme="0"/>
              </font>
              <fill>
                <patternFill>
                  <bgColor rgb="FFCC0000"/>
                </patternFill>
              </fill>
              <border>
                <vertical/>
                <horizontal/>
              </border>
            </x14:dxf>
          </x14:cfRule>
          <x14:cfRule type="expression" priority="29" id="{BCB3F598-8FF2-4EC6-B4C6-975102255E09}">
            <xm:f>List!$A$6=O15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  <border>
                <vertical/>
                <horizontal/>
              </border>
            </x14:dxf>
          </x14:cfRule>
          <x14:cfRule type="expression" priority="30" id="{4C2DA964-5E53-4D3B-B35B-F6BBF55BDA5C}">
            <xm:f>List!$A$5=O15</xm:f>
            <x14:dxf>
              <font>
                <color theme="0"/>
              </font>
              <fill>
                <patternFill>
                  <bgColor theme="3"/>
                </patternFill>
              </fill>
              <border>
                <vertical/>
                <horizontal/>
              </border>
            </x14:dxf>
          </x14:cfRule>
          <x14:cfRule type="expression" priority="31" id="{2B7A2E7E-2128-4EE4-A722-D0A554B37976}">
            <xm:f>List!$A$4=O15</xm:f>
            <x14:dxf>
              <font>
                <color theme="0"/>
              </font>
              <fill>
                <patternFill>
                  <bgColor theme="8"/>
                </patternFill>
              </fill>
              <border>
                <vertical/>
                <horizontal/>
              </border>
            </x14:dxf>
          </x14:cfRule>
          <x14:cfRule type="expression" priority="32" id="{C1274AA4-417B-4BB5-BCDD-7D4A6E539D14}">
            <xm:f>List!$A$3=O15</xm:f>
            <x14:dxf>
              <font>
                <color theme="0"/>
              </font>
              <fill>
                <patternFill>
                  <bgColor theme="6"/>
                </patternFill>
              </fill>
              <border>
                <vertical/>
                <horizontal/>
              </border>
            </x14:dxf>
          </x14:cfRule>
          <x14:cfRule type="expression" priority="33" id="{53DD0E69-5EBE-427D-BFB1-839F4B93797B}">
            <xm:f>List!$A$2=O15</xm:f>
            <x14:dxf>
              <font>
                <color theme="0"/>
              </font>
              <fill>
                <patternFill>
                  <bgColor theme="4"/>
                </patternFill>
              </fill>
              <border>
                <vertical/>
                <horizontal/>
              </border>
            </x14:dxf>
          </x14:cfRule>
          <xm:sqref>O15:O16 O18:O25 O27:O31 O33 O35 O37:O41 O43:O1048576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A1B919-F513-4F7E-87C7-39349EF1D7EA}">
          <x14:formula1>
            <xm:f>List!$A$2:$A$11</xm:f>
          </x14:formula1>
          <xm:sqref>O15:O16 O19:O27 O35:O37 O29:O31 O33 O7:O9 O11:O13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B7574-3498-4F1F-A21C-D854B01817CF}">
  <ds:schemaRefs/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TM03107663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Tabela</vt:lpstr>
      <vt:lpstr>List</vt:lpstr>
      <vt:lpstr>Jan</vt:lpstr>
      <vt:lpstr>Feb</vt:lpstr>
      <vt:lpstr>Mar</vt:lpstr>
      <vt:lpstr>Apr</vt:lpstr>
      <vt:lpstr>Sheet3</vt:lpstr>
      <vt:lpstr>May</vt:lpstr>
      <vt:lpstr>June</vt:lpstr>
      <vt:lpstr>July</vt:lpstr>
      <vt:lpstr>Aug</vt:lpstr>
      <vt:lpstr>Sep</vt:lpstr>
      <vt:lpstr>Oct</vt:lpstr>
      <vt:lpstr>Nov</vt:lpstr>
      <vt:lpstr>Dec</vt:lpstr>
      <vt:lpstr>CalendarYear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Memishahi</dc:creator>
  <cp:lastModifiedBy>Stinela Dashi</cp:lastModifiedBy>
  <dcterms:created xsi:type="dcterms:W3CDTF">2023-08-30T14:30:00Z</dcterms:created>
  <dcterms:modified xsi:type="dcterms:W3CDTF">2026-06-12T12:29:13Z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  <property fmtid="{D5CDD505-2E9C-101B-9397-08002B2CF9AE}" pid="4" name="ICV">
    <vt:lpwstr>DB996B08F87776520A84C169AA8BF02D_43</vt:lpwstr>
  </property>
  <property fmtid="{D5CDD505-2E9C-101B-9397-08002B2CF9AE}" pid="5" name="KSOProductBuildVer">
    <vt:lpwstr>1033-12.1.23150.23150</vt:lpwstr>
  </property>
</Properties>
</file>